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96" windowWidth="12216" windowHeight="6312" activeTab="3"/>
  </bookViews>
  <sheets>
    <sheet name="Dilestarikan" sheetId="1" r:id="rId1"/>
    <sheet name="Inventarisasi" sheetId="3" r:id="rId2"/>
    <sheet name="Naskah" sheetId="14" r:id="rId3"/>
    <sheet name="Internalisasi" sheetId="4" r:id="rId4"/>
    <sheet name="Dokumentasi" sheetId="5" r:id="rId5"/>
    <sheet name="Perkantoran" sheetId="6" r:id="rId6"/>
    <sheet name="Pengolah_data" sheetId="8" r:id="rId7"/>
    <sheet name="Peralatan" sheetId="9" r:id="rId8"/>
    <sheet name="Sheet1" sheetId="16" r:id="rId9"/>
  </sheets>
  <externalReferences>
    <externalReference r:id="rId10"/>
  </externalReferences>
  <definedNames>
    <definedName name="_xlnm.Print_Area" localSheetId="0">Dilestarikan!$A$1:$W$200</definedName>
    <definedName name="_xlnm.Print_Area" localSheetId="4">Dokumentasi!$A$1:$U$96</definedName>
    <definedName name="_xlnm.Print_Area" localSheetId="3">Internalisasi!$A$1:$U$219</definedName>
    <definedName name="_xlnm.Print_Area" localSheetId="1">Inventarisasi!$A$1:$T$191</definedName>
    <definedName name="_xlnm.Print_Area" localSheetId="2">Naskah!$A$1:$U$104</definedName>
    <definedName name="_xlnm.Print_Area" localSheetId="6">Pengolah_data!$A$1:$S$86</definedName>
    <definedName name="_xlnm.Print_Area" localSheetId="7">Peralatan!$A$1:$S$57</definedName>
    <definedName name="_xlnm.Print_Area" localSheetId="5">Perkantoran!$A$1:$AC$158</definedName>
    <definedName name="_xlnm.Print_Titles" localSheetId="0">Dilestarikan!$14:$17</definedName>
    <definedName name="_xlnm.Print_Titles" localSheetId="4">Dokumentasi!$14:$16</definedName>
    <definedName name="_xlnm.Print_Titles" localSheetId="3">Internalisasi!$14:$16</definedName>
    <definedName name="_xlnm.Print_Titles" localSheetId="1">Inventarisasi!$14:$16</definedName>
    <definedName name="_xlnm.Print_Titles" localSheetId="2">Naskah!$14:$17</definedName>
    <definedName name="_xlnm.Print_Titles" localSheetId="6">Pengolah_data!$14:$16</definedName>
    <definedName name="_xlnm.Print_Titles" localSheetId="7">Peralatan!$14:$16</definedName>
    <definedName name="_xlnm.Print_Titles" localSheetId="5">Perkantoran!$14:$16</definedName>
  </definedNames>
  <calcPr calcId="124519"/>
</workbook>
</file>

<file path=xl/calcChain.xml><?xml version="1.0" encoding="utf-8"?>
<calcChain xmlns="http://schemas.openxmlformats.org/spreadsheetml/2006/main">
  <c r="P25" i="4"/>
  <c r="U25" s="1"/>
  <c r="V86" i="14"/>
  <c r="V78"/>
  <c r="V39"/>
  <c r="V51"/>
  <c r="V44"/>
  <c r="V34"/>
  <c r="V27"/>
  <c r="X168" i="1"/>
  <c r="X117"/>
  <c r="X39"/>
  <c r="X38"/>
  <c r="X28"/>
  <c r="X61"/>
  <c r="X60"/>
  <c r="X22"/>
  <c r="AD131" i="6"/>
  <c r="W106" i="4"/>
  <c r="B2" i="16"/>
  <c r="A7"/>
  <c r="W102" i="4"/>
  <c r="W98"/>
  <c r="W93"/>
  <c r="V93"/>
  <c r="P93"/>
  <c r="V82"/>
  <c r="V83"/>
  <c r="V84"/>
  <c r="V85"/>
  <c r="V86"/>
  <c r="V88"/>
  <c r="V89"/>
  <c r="V90"/>
  <c r="V91"/>
  <c r="V92"/>
  <c r="V94"/>
  <c r="V95"/>
  <c r="V96"/>
  <c r="V97"/>
  <c r="V98"/>
  <c r="V99"/>
  <c r="V100"/>
  <c r="V101"/>
  <c r="V102"/>
  <c r="V103"/>
  <c r="V104"/>
  <c r="V105"/>
  <c r="V106"/>
  <c r="V108"/>
  <c r="V109"/>
  <c r="V110"/>
  <c r="V111"/>
  <c r="V112"/>
  <c r="V114"/>
  <c r="V115"/>
  <c r="V81"/>
  <c r="A4" i="16"/>
  <c r="AD85" i="6" l="1"/>
  <c r="AF48"/>
  <c r="AF47"/>
  <c r="X149" i="1"/>
  <c r="X191"/>
  <c r="Q100" l="1"/>
  <c r="W100" s="1"/>
  <c r="Q99"/>
  <c r="W99" s="1"/>
  <c r="N98"/>
  <c r="Q98" s="1"/>
  <c r="W98" s="1"/>
  <c r="N97"/>
  <c r="Q97" s="1"/>
  <c r="W97" s="1"/>
  <c r="Q96"/>
  <c r="W96" s="1"/>
  <c r="Q95"/>
  <c r="W95" s="1"/>
  <c r="Q93"/>
  <c r="W93" s="1"/>
  <c r="Q92"/>
  <c r="W92" s="1"/>
  <c r="N91"/>
  <c r="Q91" s="1"/>
  <c r="W91" s="1"/>
  <c r="Q90"/>
  <c r="W90" s="1"/>
  <c r="Q89"/>
  <c r="W89" s="1"/>
  <c r="N85"/>
  <c r="O33" i="3"/>
  <c r="O32"/>
  <c r="P173" i="1"/>
  <c r="P191" s="1"/>
  <c r="R177"/>
  <c r="S65"/>
  <c r="W65" s="1"/>
  <c r="S64"/>
  <c r="W64" s="1"/>
  <c r="S57"/>
  <c r="W57" s="1"/>
  <c r="S56"/>
  <c r="W56" s="1"/>
  <c r="S49"/>
  <c r="W49" s="1"/>
  <c r="S48"/>
  <c r="W48" s="1"/>
  <c r="S41"/>
  <c r="W41" s="1"/>
  <c r="S40"/>
  <c r="W40" s="1"/>
  <c r="S55"/>
  <c r="S54"/>
  <c r="S52"/>
  <c r="S47"/>
  <c r="S46"/>
  <c r="S44"/>
  <c r="S39"/>
  <c r="W42"/>
  <c r="W39"/>
  <c r="W38"/>
  <c r="N45"/>
  <c r="S45" s="1"/>
  <c r="T133" i="6"/>
  <c r="AC133" s="1"/>
  <c r="T129"/>
  <c r="T128"/>
  <c r="D10" i="16"/>
  <c r="P105" i="6"/>
  <c r="T105" s="1"/>
  <c r="AC105" s="1"/>
  <c r="T106"/>
  <c r="AC106" s="1"/>
  <c r="P135"/>
  <c r="T135" s="1"/>
  <c r="AC135" s="1"/>
  <c r="P134"/>
  <c r="T134" s="1"/>
  <c r="AC134" s="1"/>
  <c r="P143"/>
  <c r="T143" s="1"/>
  <c r="AC143" s="1"/>
  <c r="P142"/>
  <c r="T142" s="1"/>
  <c r="AC142" s="1"/>
  <c r="P126"/>
  <c r="T126" s="1"/>
  <c r="AC126" s="1"/>
  <c r="P127"/>
  <c r="T127" s="1"/>
  <c r="AC127" s="1"/>
  <c r="P120"/>
  <c r="T120" s="1"/>
  <c r="AC120" s="1"/>
  <c r="P119"/>
  <c r="T119" s="1"/>
  <c r="AC119" s="1"/>
  <c r="P113"/>
  <c r="T113" s="1"/>
  <c r="AC113" s="1"/>
  <c r="P112"/>
  <c r="T112" s="1"/>
  <c r="AC112" s="1"/>
  <c r="P104"/>
  <c r="T104" s="1"/>
  <c r="AC104" s="1"/>
  <c r="P98"/>
  <c r="T98" s="1"/>
  <c r="AC98" s="1"/>
  <c r="P97"/>
  <c r="T97" s="1"/>
  <c r="AC97" s="1"/>
  <c r="P91"/>
  <c r="T91" s="1"/>
  <c r="AC91" s="1"/>
  <c r="P90"/>
  <c r="T90" s="1"/>
  <c r="AC90" s="1"/>
  <c r="R57"/>
  <c r="AC57" s="1"/>
  <c r="U37" i="5"/>
  <c r="U32"/>
  <c r="Q35"/>
  <c r="U35" s="1"/>
  <c r="Q34"/>
  <c r="U34" s="1"/>
  <c r="Q33"/>
  <c r="U33" s="1"/>
  <c r="Q32"/>
  <c r="Q31"/>
  <c r="U31" s="1"/>
  <c r="Q41" i="9"/>
  <c r="S41" s="1"/>
  <c r="Q39"/>
  <c r="S39" s="1"/>
  <c r="R176" i="1"/>
  <c r="S183"/>
  <c r="S184"/>
  <c r="S181"/>
  <c r="Q86"/>
  <c r="Q87"/>
  <c r="Q88"/>
  <c r="Q116"/>
  <c r="Q117"/>
  <c r="Q120"/>
  <c r="Q121"/>
  <c r="Q123"/>
  <c r="Q124"/>
  <c r="Q127"/>
  <c r="Q128"/>
  <c r="Q129"/>
  <c r="Q109"/>
  <c r="Q110"/>
  <c r="Q113"/>
  <c r="Q114"/>
  <c r="Q102"/>
  <c r="Q103"/>
  <c r="Q106"/>
  <c r="Q107"/>
  <c r="Q130"/>
  <c r="Q131"/>
  <c r="Q132"/>
  <c r="Q133"/>
  <c r="Q134"/>
  <c r="Q135"/>
  <c r="Q136"/>
  <c r="Q137"/>
  <c r="Q141"/>
  <c r="Q142"/>
  <c r="Q143"/>
  <c r="Q144"/>
  <c r="Q148"/>
  <c r="Q149"/>
  <c r="Q150"/>
  <c r="Q151"/>
  <c r="Q152"/>
  <c r="Q167"/>
  <c r="Q168"/>
  <c r="Q169"/>
  <c r="Q175"/>
  <c r="Q180"/>
  <c r="Q83"/>
  <c r="Q40" i="8"/>
  <c r="S40" s="1"/>
  <c r="X96" i="1" l="1"/>
  <c r="X90"/>
  <c r="R191"/>
  <c r="T36" i="9"/>
  <c r="T37" s="1"/>
  <c r="Q72" i="8"/>
  <c r="S72" s="1"/>
  <c r="Q71"/>
  <c r="S71" s="1"/>
  <c r="Q39"/>
  <c r="S39" s="1"/>
  <c r="Q38"/>
  <c r="S38" s="1"/>
  <c r="N140" i="1"/>
  <c r="Q140" s="1"/>
  <c r="N139"/>
  <c r="Q139" s="1"/>
  <c r="N138"/>
  <c r="Q138" s="1"/>
  <c r="N147"/>
  <c r="Q147" s="1"/>
  <c r="N146"/>
  <c r="Q146" s="1"/>
  <c r="N145"/>
  <c r="Q145" s="1"/>
  <c r="Q38" i="9"/>
  <c r="S38" s="1"/>
  <c r="Q37"/>
  <c r="S37" s="1"/>
  <c r="Q36"/>
  <c r="S36" s="1"/>
  <c r="Q27" i="8"/>
  <c r="S27" s="1"/>
  <c r="O164" i="1" l="1"/>
  <c r="W164" s="1"/>
  <c r="Q35" i="9"/>
  <c r="S35" s="1"/>
  <c r="Q34"/>
  <c r="S34" s="1"/>
  <c r="E33"/>
  <c r="E32"/>
  <c r="E31"/>
  <c r="E30"/>
  <c r="E29"/>
  <c r="E28"/>
  <c r="E27"/>
  <c r="E26"/>
  <c r="E25"/>
  <c r="E24"/>
  <c r="E23"/>
  <c r="G37" i="8"/>
  <c r="G36" l="1"/>
  <c r="G35"/>
  <c r="G34"/>
  <c r="G33"/>
  <c r="G32"/>
  <c r="G31"/>
  <c r="G30"/>
  <c r="G29"/>
  <c r="G28"/>
  <c r="Q28"/>
  <c r="S28" s="1"/>
  <c r="Q29"/>
  <c r="S29" s="1"/>
  <c r="Q30"/>
  <c r="S30" s="1"/>
  <c r="Q31"/>
  <c r="S31" s="1"/>
  <c r="Q32"/>
  <c r="S32" s="1"/>
  <c r="Q33"/>
  <c r="S33" s="1"/>
  <c r="Q34"/>
  <c r="S34" s="1"/>
  <c r="Q35"/>
  <c r="S35" s="1"/>
  <c r="Q36"/>
  <c r="S36" s="1"/>
  <c r="Q24"/>
  <c r="S24" s="1"/>
  <c r="G24"/>
  <c r="T28" i="9" l="1"/>
  <c r="R58" i="6"/>
  <c r="AC58" s="1"/>
  <c r="T20" i="8"/>
  <c r="U44"/>
  <c r="V44"/>
  <c r="U45"/>
  <c r="V45"/>
  <c r="U46"/>
  <c r="V46"/>
  <c r="U47"/>
  <c r="V47"/>
  <c r="U48"/>
  <c r="V48"/>
  <c r="U49"/>
  <c r="V49"/>
  <c r="U50"/>
  <c r="V50"/>
  <c r="U51"/>
  <c r="V51"/>
  <c r="U52"/>
  <c r="V52"/>
  <c r="U53"/>
  <c r="V53"/>
  <c r="U54"/>
  <c r="V54"/>
  <c r="U55"/>
  <c r="V55"/>
  <c r="U56"/>
  <c r="V56"/>
  <c r="U57"/>
  <c r="V57"/>
  <c r="U58"/>
  <c r="V58"/>
  <c r="U59"/>
  <c r="V59"/>
  <c r="U60"/>
  <c r="V60"/>
  <c r="U61"/>
  <c r="V61"/>
  <c r="U62"/>
  <c r="V62"/>
  <c r="U63"/>
  <c r="V63"/>
  <c r="U64"/>
  <c r="V64"/>
  <c r="U65"/>
  <c r="V65"/>
  <c r="U66"/>
  <c r="V66"/>
  <c r="U67"/>
  <c r="V67"/>
  <c r="U68"/>
  <c r="V68"/>
  <c r="B8" i="16"/>
  <c r="W55" i="8" l="1"/>
  <c r="W68"/>
  <c r="W66"/>
  <c r="W62"/>
  <c r="W60"/>
  <c r="W59"/>
  <c r="W58"/>
  <c r="W54"/>
  <c r="W50"/>
  <c r="W46"/>
  <c r="W44"/>
  <c r="W67"/>
  <c r="W52"/>
  <c r="W51"/>
  <c r="W64"/>
  <c r="W63"/>
  <c r="W56"/>
  <c r="W48"/>
  <c r="W47"/>
  <c r="W65"/>
  <c r="W61"/>
  <c r="W57"/>
  <c r="W53"/>
  <c r="W49"/>
  <c r="W45"/>
  <c r="P208" i="4"/>
  <c r="U208" s="1"/>
  <c r="P207"/>
  <c r="U207" s="1"/>
  <c r="U163"/>
  <c r="R162"/>
  <c r="U162" s="1"/>
  <c r="R161"/>
  <c r="U161" s="1"/>
  <c r="R160"/>
  <c r="U160" s="1"/>
  <c r="Q147"/>
  <c r="U147" s="1"/>
  <c r="Q148"/>
  <c r="U148" s="1"/>
  <c r="Q149"/>
  <c r="U149" s="1"/>
  <c r="Q150"/>
  <c r="U150" s="1"/>
  <c r="Q151"/>
  <c r="Q146"/>
  <c r="U146" s="1"/>
  <c r="Q95"/>
  <c r="Q94"/>
  <c r="P60"/>
  <c r="U60" s="1"/>
  <c r="P41"/>
  <c r="U41" s="1"/>
  <c r="O163" i="1"/>
  <c r="W163" s="1"/>
  <c r="O162"/>
  <c r="W162" s="1"/>
  <c r="O165"/>
  <c r="W165" s="1"/>
  <c r="O161"/>
  <c r="W161" s="1"/>
  <c r="O166"/>
  <c r="W166" s="1"/>
  <c r="O160"/>
  <c r="W160" s="1"/>
  <c r="O159"/>
  <c r="W159" s="1"/>
  <c r="P24" i="5"/>
  <c r="U24" s="1"/>
  <c r="P45"/>
  <c r="U45" s="1"/>
  <c r="S164" i="3"/>
  <c r="S137"/>
  <c r="S101"/>
  <c r="S77"/>
  <c r="S61"/>
  <c r="S28"/>
  <c r="P173" i="4"/>
  <c r="U173" s="1"/>
  <c r="P172"/>
  <c r="U172" s="1"/>
  <c r="P171"/>
  <c r="U171" s="1"/>
  <c r="P82"/>
  <c r="P166"/>
  <c r="U166" s="1"/>
  <c r="R132"/>
  <c r="U132" s="1"/>
  <c r="R131"/>
  <c r="U131" s="1"/>
  <c r="R130"/>
  <c r="U130" s="1"/>
  <c r="P125"/>
  <c r="U125" s="1"/>
  <c r="P124"/>
  <c r="U124" s="1"/>
  <c r="P119"/>
  <c r="P81"/>
  <c r="P80"/>
  <c r="U80" s="1"/>
  <c r="V77" s="1"/>
  <c r="O72"/>
  <c r="R72" s="1"/>
  <c r="U72" s="1"/>
  <c r="P61"/>
  <c r="U61" s="1"/>
  <c r="O52"/>
  <c r="R52" s="1"/>
  <c r="U52" s="1"/>
  <c r="P23" i="3"/>
  <c r="T23" s="1"/>
  <c r="O158" i="1"/>
  <c r="W158" s="1"/>
  <c r="O157"/>
  <c r="W157" s="1"/>
  <c r="O156"/>
  <c r="W156" s="1"/>
  <c r="O155"/>
  <c r="W155" s="1"/>
  <c r="O154"/>
  <c r="W154" s="1"/>
  <c r="N104"/>
  <c r="N111"/>
  <c r="N125"/>
  <c r="N118"/>
  <c r="N84"/>
  <c r="O75"/>
  <c r="W75" s="1"/>
  <c r="W74"/>
  <c r="T78"/>
  <c r="W78" s="1"/>
  <c r="O73" i="4"/>
  <c r="R73" s="1"/>
  <c r="U73" s="1"/>
  <c r="P65"/>
  <c r="U65" s="1"/>
  <c r="U76"/>
  <c r="R75"/>
  <c r="U75" s="1"/>
  <c r="R74"/>
  <c r="U74" s="1"/>
  <c r="R71"/>
  <c r="U71" s="1"/>
  <c r="T68"/>
  <c r="U68" s="1"/>
  <c r="U67"/>
  <c r="U66"/>
  <c r="P64"/>
  <c r="U64" s="1"/>
  <c r="P63"/>
  <c r="U63" s="1"/>
  <c r="P62"/>
  <c r="U62" s="1"/>
  <c r="P59"/>
  <c r="U59" s="1"/>
  <c r="P58"/>
  <c r="U58" s="1"/>
  <c r="AC147" i="6"/>
  <c r="P180" i="3"/>
  <c r="T180" s="1"/>
  <c r="P22"/>
  <c r="T22" s="1"/>
  <c r="O153" i="1"/>
  <c r="W153" s="1"/>
  <c r="O26"/>
  <c r="Q33" i="9"/>
  <c r="S33" s="1"/>
  <c r="O69" i="1"/>
  <c r="W69" s="1"/>
  <c r="W68"/>
  <c r="O31"/>
  <c r="W31" s="1"/>
  <c r="O30"/>
  <c r="W30" s="1"/>
  <c r="W29"/>
  <c r="W173"/>
  <c r="P57" i="5"/>
  <c r="U57" s="1"/>
  <c r="P58"/>
  <c r="U58" s="1"/>
  <c r="U59"/>
  <c r="R60"/>
  <c r="U60" s="1"/>
  <c r="R61"/>
  <c r="U61" s="1"/>
  <c r="R62"/>
  <c r="U62" s="1"/>
  <c r="U63"/>
  <c r="T64"/>
  <c r="U64" s="1"/>
  <c r="U65"/>
  <c r="Q66"/>
  <c r="U66" s="1"/>
  <c r="O67"/>
  <c r="Q67" s="1"/>
  <c r="U67" s="1"/>
  <c r="Q68"/>
  <c r="U68" s="1"/>
  <c r="Q69"/>
  <c r="U69" s="1"/>
  <c r="P73"/>
  <c r="U73" s="1"/>
  <c r="P74"/>
  <c r="U74" s="1"/>
  <c r="U75"/>
  <c r="R76"/>
  <c r="U76" s="1"/>
  <c r="R77"/>
  <c r="U77" s="1"/>
  <c r="R78"/>
  <c r="U78" s="1"/>
  <c r="U79"/>
  <c r="T80"/>
  <c r="U80" s="1"/>
  <c r="U81"/>
  <c r="Q82"/>
  <c r="U82" s="1"/>
  <c r="O83"/>
  <c r="Q83" s="1"/>
  <c r="U83" s="1"/>
  <c r="Q84"/>
  <c r="U84" s="1"/>
  <c r="Q85"/>
  <c r="U85" s="1"/>
  <c r="U39" i="6"/>
  <c r="AC39" s="1"/>
  <c r="U38"/>
  <c r="AC38" s="1"/>
  <c r="V82"/>
  <c r="AC82" s="1"/>
  <c r="V81"/>
  <c r="AC81" s="1"/>
  <c r="Q37" i="8"/>
  <c r="S37" s="1"/>
  <c r="Q26" i="9"/>
  <c r="S26" s="1"/>
  <c r="Q27"/>
  <c r="S27" s="1"/>
  <c r="Q28"/>
  <c r="S28" s="1"/>
  <c r="Q29"/>
  <c r="S29" s="1"/>
  <c r="Q30"/>
  <c r="S30" s="1"/>
  <c r="Q31"/>
  <c r="S31" s="1"/>
  <c r="Q32"/>
  <c r="S32" s="1"/>
  <c r="X151" i="1" l="1"/>
  <c r="Q84"/>
  <c r="W84" s="1"/>
  <c r="Q125"/>
  <c r="W125" s="1"/>
  <c r="Q104"/>
  <c r="W104" s="1"/>
  <c r="Q118"/>
  <c r="W118" s="1"/>
  <c r="Q111"/>
  <c r="W111" s="1"/>
  <c r="V54" i="5"/>
  <c r="V58" i="4"/>
  <c r="Q26" i="8"/>
  <c r="S26" s="1"/>
  <c r="G26"/>
  <c r="O167" i="3"/>
  <c r="R162"/>
  <c r="T162" s="1"/>
  <c r="Q169"/>
  <c r="T169" s="1"/>
  <c r="Q168"/>
  <c r="T168" s="1"/>
  <c r="Q167"/>
  <c r="T167" s="1"/>
  <c r="Q166"/>
  <c r="T166" s="1"/>
  <c r="Q165"/>
  <c r="T165" s="1"/>
  <c r="T164"/>
  <c r="T163"/>
  <c r="R161"/>
  <c r="T161" s="1"/>
  <c r="T160"/>
  <c r="Q159"/>
  <c r="T159" s="1"/>
  <c r="U85" i="14"/>
  <c r="P87"/>
  <c r="R87" s="1"/>
  <c r="U87" s="1"/>
  <c r="T93"/>
  <c r="T92"/>
  <c r="R83"/>
  <c r="U83" s="1"/>
  <c r="R82"/>
  <c r="U82" s="1"/>
  <c r="R79"/>
  <c r="U79" s="1"/>
  <c r="R78"/>
  <c r="U78" s="1"/>
  <c r="U91"/>
  <c r="U77"/>
  <c r="R89"/>
  <c r="R88"/>
  <c r="U88" s="1"/>
  <c r="R86"/>
  <c r="U86" s="1"/>
  <c r="P81"/>
  <c r="P80"/>
  <c r="R80" s="1"/>
  <c r="Q76"/>
  <c r="Q75"/>
  <c r="S95" l="1"/>
  <c r="U161" i="3"/>
  <c r="U93" i="14"/>
  <c r="U92"/>
  <c r="U80"/>
  <c r="U76"/>
  <c r="U89"/>
  <c r="R81"/>
  <c r="U81" s="1"/>
  <c r="U75"/>
  <c r="R95" l="1"/>
  <c r="V73"/>
  <c r="T79" i="1"/>
  <c r="W79" s="1"/>
  <c r="W107"/>
  <c r="W106"/>
  <c r="N105"/>
  <c r="W103"/>
  <c r="W102"/>
  <c r="W121"/>
  <c r="W120"/>
  <c r="N119"/>
  <c r="W117"/>
  <c r="W116"/>
  <c r="Q54" i="8"/>
  <c r="Q48"/>
  <c r="X103" i="1" l="1"/>
  <c r="Q119"/>
  <c r="W119" s="1"/>
  <c r="Q105"/>
  <c r="W105" s="1"/>
  <c r="P50" i="5" l="1"/>
  <c r="AC64" i="6"/>
  <c r="AC40"/>
  <c r="T52" i="5" l="1"/>
  <c r="P23"/>
  <c r="U23" s="1"/>
  <c r="Q36"/>
  <c r="U158" i="4"/>
  <c r="O202"/>
  <c r="R202" s="1"/>
  <c r="U202" s="1"/>
  <c r="S142"/>
  <c r="O113"/>
  <c r="O107"/>
  <c r="O87"/>
  <c r="V87" s="1"/>
  <c r="W86" s="1"/>
  <c r="S141"/>
  <c r="R156"/>
  <c r="R157"/>
  <c r="R155"/>
  <c r="U155" s="1"/>
  <c r="R88"/>
  <c r="R89"/>
  <c r="R106"/>
  <c r="R108"/>
  <c r="R109"/>
  <c r="R111"/>
  <c r="R112"/>
  <c r="R114"/>
  <c r="R115"/>
  <c r="R86"/>
  <c r="R103"/>
  <c r="U56"/>
  <c r="T48"/>
  <c r="U48" s="1"/>
  <c r="U47"/>
  <c r="U46"/>
  <c r="P68" i="14"/>
  <c r="T68" s="1"/>
  <c r="U68" s="1"/>
  <c r="P52"/>
  <c r="T52" s="1"/>
  <c r="U52" s="1"/>
  <c r="P45"/>
  <c r="T45" s="1"/>
  <c r="U45" s="1"/>
  <c r="P35"/>
  <c r="T35" s="1"/>
  <c r="U35" s="1"/>
  <c r="P28"/>
  <c r="T28" s="1"/>
  <c r="U28" s="1"/>
  <c r="N182" i="1"/>
  <c r="N112"/>
  <c r="Q112" s="1"/>
  <c r="N126"/>
  <c r="Q126" s="1"/>
  <c r="T50"/>
  <c r="T51"/>
  <c r="W51" s="1"/>
  <c r="N53"/>
  <c r="S53" s="1"/>
  <c r="W58"/>
  <c r="R107" i="4" l="1"/>
  <c r="V107"/>
  <c r="R113"/>
  <c r="V113"/>
  <c r="S182" i="1"/>
  <c r="W182" s="1"/>
  <c r="S210" i="4"/>
  <c r="R87"/>
  <c r="W45" i="1"/>
  <c r="W53"/>
  <c r="W55"/>
  <c r="W52"/>
  <c r="W54"/>
  <c r="O142" i="3"/>
  <c r="O141"/>
  <c r="O108"/>
  <c r="O107"/>
  <c r="R59"/>
  <c r="O65"/>
  <c r="Q64"/>
  <c r="T64" s="1"/>
  <c r="R135"/>
  <c r="T135" s="1"/>
  <c r="W112" i="1"/>
  <c r="W126"/>
  <c r="Q68" i="8"/>
  <c r="S68" s="1"/>
  <c r="Q67"/>
  <c r="S67" s="1"/>
  <c r="Q65"/>
  <c r="S65" s="1"/>
  <c r="Q63"/>
  <c r="S63" s="1"/>
  <c r="S66"/>
  <c r="S64"/>
  <c r="S62"/>
  <c r="S61"/>
  <c r="S60"/>
  <c r="S59"/>
  <c r="S58"/>
  <c r="S57"/>
  <c r="Q56"/>
  <c r="S56" s="1"/>
  <c r="Q55"/>
  <c r="S55" s="1"/>
  <c r="S54"/>
  <c r="S52"/>
  <c r="S51"/>
  <c r="S50"/>
  <c r="S49"/>
  <c r="S48"/>
  <c r="Q47"/>
  <c r="S47" s="1"/>
  <c r="Q46"/>
  <c r="S46" s="1"/>
  <c r="Q45"/>
  <c r="S45" s="1"/>
  <c r="Q44"/>
  <c r="S44" s="1"/>
  <c r="U51" i="5"/>
  <c r="U48"/>
  <c r="U47"/>
  <c r="U34" i="4"/>
  <c r="U33"/>
  <c r="T35"/>
  <c r="U35" s="1"/>
  <c r="P32"/>
  <c r="U32" s="1"/>
  <c r="P31"/>
  <c r="U31" s="1"/>
  <c r="P30"/>
  <c r="U30" s="1"/>
  <c r="P29"/>
  <c r="U29" s="1"/>
  <c r="P28"/>
  <c r="U28" s="1"/>
  <c r="P27"/>
  <c r="U27" s="1"/>
  <c r="P26"/>
  <c r="U26" s="1"/>
  <c r="P24"/>
  <c r="X52" i="1" l="1"/>
  <c r="Q85"/>
  <c r="W85" s="1"/>
  <c r="V25" i="4"/>
  <c r="V22"/>
  <c r="Q191" i="1" l="1"/>
  <c r="W175"/>
  <c r="W169"/>
  <c r="W143"/>
  <c r="W142"/>
  <c r="W141"/>
  <c r="W136"/>
  <c r="W135"/>
  <c r="W134"/>
  <c r="W129"/>
  <c r="W81"/>
  <c r="W133"/>
  <c r="W131"/>
  <c r="W71"/>
  <c r="W66"/>
  <c r="W59"/>
  <c r="W50"/>
  <c r="W25"/>
  <c r="W43"/>
  <c r="W37"/>
  <c r="W33"/>
  <c r="W23"/>
  <c r="W22"/>
  <c r="W184"/>
  <c r="W183"/>
  <c r="W181"/>
  <c r="W180"/>
  <c r="W177"/>
  <c r="W176"/>
  <c r="V170"/>
  <c r="W170" s="1"/>
  <c r="O188"/>
  <c r="W188" s="1"/>
  <c r="X181" l="1"/>
  <c r="W88"/>
  <c r="S82"/>
  <c r="W83" l="1"/>
  <c r="W87"/>
  <c r="W124"/>
  <c r="W128"/>
  <c r="W110"/>
  <c r="X71" s="1"/>
  <c r="W114"/>
  <c r="W82"/>
  <c r="W86"/>
  <c r="W123"/>
  <c r="W127"/>
  <c r="W109"/>
  <c r="W113"/>
  <c r="X81" l="1"/>
  <c r="X110"/>
  <c r="X124"/>
  <c r="X83"/>
  <c r="P49" i="5"/>
  <c r="U49" s="1"/>
  <c r="U157" i="4"/>
  <c r="U156"/>
  <c r="U141"/>
  <c r="U142"/>
  <c r="P126"/>
  <c r="U126" s="1"/>
  <c r="P137"/>
  <c r="U137" s="1"/>
  <c r="P138"/>
  <c r="P136"/>
  <c r="U136" s="1"/>
  <c r="U151"/>
  <c r="V145" s="1"/>
  <c r="R102"/>
  <c r="P99"/>
  <c r="P98"/>
  <c r="T70" i="14"/>
  <c r="U70" s="1"/>
  <c r="T69"/>
  <c r="U69" s="1"/>
  <c r="T67"/>
  <c r="U67" s="1"/>
  <c r="T63"/>
  <c r="U63" s="1"/>
  <c r="T62"/>
  <c r="U62" s="1"/>
  <c r="T61"/>
  <c r="U61" s="1"/>
  <c r="Q58"/>
  <c r="U58" s="1"/>
  <c r="T54"/>
  <c r="U54" s="1"/>
  <c r="T53"/>
  <c r="U53" s="1"/>
  <c r="T51"/>
  <c r="U51" s="1"/>
  <c r="T47"/>
  <c r="U47" s="1"/>
  <c r="T46"/>
  <c r="U46" s="1"/>
  <c r="T44"/>
  <c r="U44" s="1"/>
  <c r="Q41"/>
  <c r="U41" s="1"/>
  <c r="T37"/>
  <c r="U37" s="1"/>
  <c r="T36"/>
  <c r="U36" s="1"/>
  <c r="T34"/>
  <c r="U34" s="1"/>
  <c r="T30"/>
  <c r="U30" s="1"/>
  <c r="T29"/>
  <c r="U29" s="1"/>
  <c r="T27"/>
  <c r="U27" s="1"/>
  <c r="V80" i="4" l="1"/>
  <c r="U50" i="5"/>
  <c r="U138" i="4"/>
  <c r="V121" s="1"/>
  <c r="V76" s="1"/>
  <c r="V57" i="14"/>
  <c r="U52" i="5"/>
  <c r="V47" s="1"/>
  <c r="Q24" i="14"/>
  <c r="U24" s="1"/>
  <c r="V124" i="4" l="1"/>
  <c r="V21" i="14"/>
  <c r="V22"/>
  <c r="R55" i="4"/>
  <c r="U55" s="1"/>
  <c r="R54"/>
  <c r="U54" s="1"/>
  <c r="R51"/>
  <c r="U51" s="1"/>
  <c r="O53"/>
  <c r="R53" s="1"/>
  <c r="U53" l="1"/>
  <c r="V51" s="1"/>
  <c r="R189" l="1"/>
  <c r="U189" s="1"/>
  <c r="R192" l="1"/>
  <c r="U192" s="1"/>
  <c r="R191"/>
  <c r="U191" s="1"/>
  <c r="R190"/>
  <c r="U190" s="1"/>
  <c r="R188"/>
  <c r="U188" s="1"/>
  <c r="R187"/>
  <c r="U187" s="1"/>
  <c r="R186"/>
  <c r="U186" s="1"/>
  <c r="R185"/>
  <c r="U185" s="1"/>
  <c r="R184"/>
  <c r="U184" s="1"/>
  <c r="R183"/>
  <c r="U183" s="1"/>
  <c r="R182"/>
  <c r="R204"/>
  <c r="U204" s="1"/>
  <c r="R203"/>
  <c r="U203" s="1"/>
  <c r="R201"/>
  <c r="U201" s="1"/>
  <c r="R199"/>
  <c r="R198"/>
  <c r="T197"/>
  <c r="U197" s="1"/>
  <c r="T196"/>
  <c r="U196" s="1"/>
  <c r="R195"/>
  <c r="R180"/>
  <c r="P179"/>
  <c r="U179" s="1"/>
  <c r="P178"/>
  <c r="U178" s="1"/>
  <c r="P177"/>
  <c r="U177" s="1"/>
  <c r="R176"/>
  <c r="U193"/>
  <c r="R181"/>
  <c r="V175" l="1"/>
  <c r="V169"/>
  <c r="V171"/>
  <c r="Q142" i="3"/>
  <c r="T142" s="1"/>
  <c r="Q141"/>
  <c r="T141" s="1"/>
  <c r="Q140"/>
  <c r="T140" s="1"/>
  <c r="Q108"/>
  <c r="T108" s="1"/>
  <c r="O82"/>
  <c r="Q82" s="1"/>
  <c r="T82" s="1"/>
  <c r="O81"/>
  <c r="Q80"/>
  <c r="T80" s="1"/>
  <c r="Q33"/>
  <c r="T33" s="1"/>
  <c r="Q32"/>
  <c r="T32" s="1"/>
  <c r="Q31"/>
  <c r="T31" s="1"/>
  <c r="T41" i="5"/>
  <c r="U41" s="1"/>
  <c r="S38"/>
  <c r="U38" s="1"/>
  <c r="U36"/>
  <c r="S28"/>
  <c r="U28" s="1"/>
  <c r="T157" i="3"/>
  <c r="T156"/>
  <c r="T155"/>
  <c r="T154"/>
  <c r="T153"/>
  <c r="T152"/>
  <c r="T151"/>
  <c r="T150"/>
  <c r="T149"/>
  <c r="T148"/>
  <c r="T147"/>
  <c r="T146"/>
  <c r="T145"/>
  <c r="T136"/>
  <c r="T133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00"/>
  <c r="T98"/>
  <c r="T96"/>
  <c r="T95"/>
  <c r="T94"/>
  <c r="T93"/>
  <c r="T92"/>
  <c r="T91"/>
  <c r="T90"/>
  <c r="T89"/>
  <c r="T88"/>
  <c r="T87"/>
  <c r="T86"/>
  <c r="T85"/>
  <c r="T76"/>
  <c r="T74"/>
  <c r="T72"/>
  <c r="T71"/>
  <c r="T70"/>
  <c r="T69"/>
  <c r="T68"/>
  <c r="T60"/>
  <c r="T55"/>
  <c r="T54"/>
  <c r="T53"/>
  <c r="T52"/>
  <c r="T51"/>
  <c r="T50"/>
  <c r="T49"/>
  <c r="T48"/>
  <c r="T47"/>
  <c r="T46"/>
  <c r="T45"/>
  <c r="T44"/>
  <c r="T43"/>
  <c r="T42"/>
  <c r="T41"/>
  <c r="P45" i="4"/>
  <c r="U45" s="1"/>
  <c r="P44"/>
  <c r="U44" s="1"/>
  <c r="P43"/>
  <c r="U43" s="1"/>
  <c r="P42"/>
  <c r="U42" s="1"/>
  <c r="P40"/>
  <c r="U40" s="1"/>
  <c r="P39"/>
  <c r="U39" s="1"/>
  <c r="P38"/>
  <c r="U38" s="1"/>
  <c r="D11" i="3"/>
  <c r="Q144"/>
  <c r="T144" s="1"/>
  <c r="Q143"/>
  <c r="T143" s="1"/>
  <c r="Q139"/>
  <c r="T139" s="1"/>
  <c r="Q138"/>
  <c r="T138" s="1"/>
  <c r="T137"/>
  <c r="R134"/>
  <c r="T134" s="1"/>
  <c r="Q132"/>
  <c r="T132" s="1"/>
  <c r="Q110"/>
  <c r="T110" s="1"/>
  <c r="Q109"/>
  <c r="T109" s="1"/>
  <c r="Q107"/>
  <c r="T107" s="1"/>
  <c r="Q106"/>
  <c r="T106" s="1"/>
  <c r="Q105"/>
  <c r="T105" s="1"/>
  <c r="Q104"/>
  <c r="T104" s="1"/>
  <c r="Q103"/>
  <c r="T103" s="1"/>
  <c r="Q102"/>
  <c r="T102" s="1"/>
  <c r="T101"/>
  <c r="R99"/>
  <c r="T99" s="1"/>
  <c r="Q97"/>
  <c r="T97" s="1"/>
  <c r="Q84"/>
  <c r="T84" s="1"/>
  <c r="Q83"/>
  <c r="T83" s="1"/>
  <c r="Q81"/>
  <c r="T81" s="1"/>
  <c r="Q79"/>
  <c r="T79" s="1"/>
  <c r="Q78"/>
  <c r="T78" s="1"/>
  <c r="T77"/>
  <c r="R75"/>
  <c r="T75" s="1"/>
  <c r="Q73"/>
  <c r="T73" s="1"/>
  <c r="Q67"/>
  <c r="T67" s="1"/>
  <c r="Q66"/>
  <c r="T66" s="1"/>
  <c r="Q65"/>
  <c r="T65" s="1"/>
  <c r="Q63"/>
  <c r="T63" s="1"/>
  <c r="Q62"/>
  <c r="T62" s="1"/>
  <c r="T61"/>
  <c r="T59"/>
  <c r="S58"/>
  <c r="T58" s="1"/>
  <c r="Q57"/>
  <c r="S57" s="1"/>
  <c r="T57" s="1"/>
  <c r="S56"/>
  <c r="T56" s="1"/>
  <c r="Q40"/>
  <c r="T40" s="1"/>
  <c r="Q39"/>
  <c r="T39" s="1"/>
  <c r="Q38"/>
  <c r="T38" s="1"/>
  <c r="Q37"/>
  <c r="T37" s="1"/>
  <c r="Q36"/>
  <c r="T36" s="1"/>
  <c r="Q35"/>
  <c r="T35" s="1"/>
  <c r="Q34"/>
  <c r="T34" s="1"/>
  <c r="Q30"/>
  <c r="T30" s="1"/>
  <c r="Q29"/>
  <c r="S29" s="1"/>
  <c r="T29" s="1"/>
  <c r="T28"/>
  <c r="S27"/>
  <c r="T27" s="1"/>
  <c r="Q26"/>
  <c r="S26" s="1"/>
  <c r="O179"/>
  <c r="O178"/>
  <c r="O177"/>
  <c r="O176"/>
  <c r="O175"/>
  <c r="O174"/>
  <c r="T181"/>
  <c r="S65" i="6"/>
  <c r="V77"/>
  <c r="AC77" s="1"/>
  <c r="V21" i="4" l="1"/>
  <c r="U26" i="3"/>
  <c r="V19" i="5"/>
  <c r="V87" s="1"/>
  <c r="V39" i="4"/>
  <c r="V38"/>
  <c r="S182" i="3"/>
  <c r="AC65" i="6"/>
  <c r="S149"/>
  <c r="U75" i="3"/>
  <c r="U210" i="4"/>
  <c r="V207" s="1"/>
  <c r="U28" i="3"/>
  <c r="U30"/>
  <c r="U132"/>
  <c r="U97"/>
  <c r="U57"/>
  <c r="O171"/>
  <c r="P171" s="1"/>
  <c r="T171" s="1"/>
  <c r="U162" s="1"/>
  <c r="T26"/>
  <c r="T182" s="1"/>
  <c r="T146" i="6" l="1"/>
  <c r="AC146" s="1"/>
  <c r="T138"/>
  <c r="AC138" s="1"/>
  <c r="T145"/>
  <c r="AC145" s="1"/>
  <c r="T137"/>
  <c r="AC137" s="1"/>
  <c r="T93" l="1"/>
  <c r="AC93" s="1"/>
  <c r="Q25" i="9" l="1"/>
  <c r="S25" s="1"/>
  <c r="O132" i="1" l="1"/>
  <c r="W132" s="1"/>
  <c r="V35"/>
  <c r="W35" s="1"/>
  <c r="Q25" i="8" l="1"/>
  <c r="AB85" i="6" l="1"/>
  <c r="AC85" s="1"/>
  <c r="W26" i="1"/>
  <c r="V34"/>
  <c r="W34" s="1"/>
  <c r="W47"/>
  <c r="W46"/>
  <c r="U94" i="14"/>
  <c r="F94"/>
  <c r="W44" i="1" l="1"/>
  <c r="V191"/>
  <c r="X44" l="1"/>
  <c r="G25" i="8"/>
  <c r="G23"/>
  <c r="S190" i="1" l="1"/>
  <c r="W190" s="1"/>
  <c r="Q23" i="9" l="1"/>
  <c r="S23" s="1"/>
  <c r="V80" i="6"/>
  <c r="AC80" s="1"/>
  <c r="AC52"/>
  <c r="AA51"/>
  <c r="AC51" s="1"/>
  <c r="AC50"/>
  <c r="Z49"/>
  <c r="AC49" s="1"/>
  <c r="AC48"/>
  <c r="Y47"/>
  <c r="AC47" s="1"/>
  <c r="AC46"/>
  <c r="X45"/>
  <c r="AC45" s="1"/>
  <c r="AC44"/>
  <c r="AC43"/>
  <c r="U37"/>
  <c r="AC37" s="1"/>
  <c r="U21" i="14"/>
  <c r="U95" s="1"/>
  <c r="V95" s="1"/>
  <c r="V97" s="1"/>
  <c r="V100" l="1"/>
  <c r="AD43" i="6"/>
  <c r="T191" i="1"/>
  <c r="Q95" i="14"/>
  <c r="T95"/>
  <c r="E12" l="1"/>
  <c r="S60" i="1" l="1"/>
  <c r="S63"/>
  <c r="W63" s="1"/>
  <c r="S62"/>
  <c r="W62" s="1"/>
  <c r="S61"/>
  <c r="W61" s="1"/>
  <c r="W60" l="1"/>
  <c r="S191"/>
  <c r="U147"/>
  <c r="W147" s="1"/>
  <c r="U146"/>
  <c r="W146" s="1"/>
  <c r="U145"/>
  <c r="W145" s="1"/>
  <c r="U144"/>
  <c r="W144" s="1"/>
  <c r="U140"/>
  <c r="W140" s="1"/>
  <c r="U139"/>
  <c r="W139" s="1"/>
  <c r="U138"/>
  <c r="W138" s="1"/>
  <c r="U137"/>
  <c r="W137" s="1"/>
  <c r="X137" l="1"/>
  <c r="X144"/>
  <c r="U86" i="5"/>
  <c r="U87" s="1"/>
  <c r="X134" i="1" l="1"/>
  <c r="Q24" i="9"/>
  <c r="S24" s="1"/>
  <c r="T23" s="1"/>
  <c r="AA149" i="6" l="1"/>
  <c r="T108" l="1"/>
  <c r="AC108" s="1"/>
  <c r="V76"/>
  <c r="AC76" s="1"/>
  <c r="Q23" i="8" l="1"/>
  <c r="S23" l="1"/>
  <c r="S25"/>
  <c r="T121" i="6"/>
  <c r="T114"/>
  <c r="T103"/>
  <c r="O27" i="1"/>
  <c r="T23" i="8" l="1"/>
  <c r="W27" i="1"/>
  <c r="O191"/>
  <c r="X21"/>
  <c r="R87" i="5"/>
  <c r="S47" i="9"/>
  <c r="R46"/>
  <c r="S46" s="1"/>
  <c r="R45"/>
  <c r="Q43"/>
  <c r="S43" s="1"/>
  <c r="Q42"/>
  <c r="S42" s="1"/>
  <c r="Q40"/>
  <c r="S40" s="1"/>
  <c r="S22"/>
  <c r="S76" i="8"/>
  <c r="R75"/>
  <c r="S75" s="1"/>
  <c r="S77" s="1"/>
  <c r="R74"/>
  <c r="Y149" i="6"/>
  <c r="W41"/>
  <c r="W149" s="1"/>
  <c r="U36"/>
  <c r="AC36" s="1"/>
  <c r="U35"/>
  <c r="AC35" s="1"/>
  <c r="U34"/>
  <c r="AC34" s="1"/>
  <c r="U33"/>
  <c r="AC33" s="1"/>
  <c r="U31"/>
  <c r="U30"/>
  <c r="AC30" s="1"/>
  <c r="U29"/>
  <c r="AC29" s="1"/>
  <c r="AC129"/>
  <c r="AC128"/>
  <c r="T125"/>
  <c r="AC125" s="1"/>
  <c r="T122"/>
  <c r="AC122" s="1"/>
  <c r="AC121"/>
  <c r="T118"/>
  <c r="AC118" s="1"/>
  <c r="T115"/>
  <c r="AC115" s="1"/>
  <c r="AC114"/>
  <c r="T111"/>
  <c r="AC111" s="1"/>
  <c r="T107"/>
  <c r="AC107" s="1"/>
  <c r="T102"/>
  <c r="AC102" s="1"/>
  <c r="T100"/>
  <c r="AC100" s="1"/>
  <c r="T99"/>
  <c r="AC99" s="1"/>
  <c r="T96"/>
  <c r="AC96" s="1"/>
  <c r="T92"/>
  <c r="AC92" s="1"/>
  <c r="T89"/>
  <c r="AC103"/>
  <c r="AC32"/>
  <c r="AC28"/>
  <c r="AC27"/>
  <c r="AC25"/>
  <c r="AC124"/>
  <c r="AC123"/>
  <c r="AC117"/>
  <c r="AC116"/>
  <c r="AC110"/>
  <c r="AC101"/>
  <c r="AC95"/>
  <c r="AC94"/>
  <c r="AC88"/>
  <c r="AC87"/>
  <c r="AC83"/>
  <c r="AC140"/>
  <c r="AC131"/>
  <c r="AC68"/>
  <c r="AC71"/>
  <c r="AC67"/>
  <c r="AC66"/>
  <c r="U69"/>
  <c r="AC69" s="1"/>
  <c r="T144"/>
  <c r="AC144" s="1"/>
  <c r="T141"/>
  <c r="AC141" s="1"/>
  <c r="T136"/>
  <c r="AC136" s="1"/>
  <c r="T132"/>
  <c r="AC132" s="1"/>
  <c r="V79"/>
  <c r="AC79" s="1"/>
  <c r="V78"/>
  <c r="AC78" s="1"/>
  <c r="V75"/>
  <c r="AC75" s="1"/>
  <c r="V74"/>
  <c r="AC74" s="1"/>
  <c r="V73"/>
  <c r="AC73" s="1"/>
  <c r="V72"/>
  <c r="AC72" s="1"/>
  <c r="AD88" l="1"/>
  <c r="AD91" s="1"/>
  <c r="AD92" s="1"/>
  <c r="W191" i="1"/>
  <c r="AD132" i="6"/>
  <c r="AD96"/>
  <c r="AD141"/>
  <c r="AD111"/>
  <c r="AD103"/>
  <c r="AD118"/>
  <c r="AD125"/>
  <c r="AD135"/>
  <c r="AD136" s="1"/>
  <c r="AD137" s="1"/>
  <c r="AD33"/>
  <c r="T26" i="9"/>
  <c r="S48"/>
  <c r="T51" s="1"/>
  <c r="AD72" i="6"/>
  <c r="AC89"/>
  <c r="AC130"/>
  <c r="Q77" i="8"/>
  <c r="R77"/>
  <c r="AC41" i="6"/>
  <c r="Q48" i="9"/>
  <c r="R48"/>
  <c r="U149" i="6"/>
  <c r="X149"/>
  <c r="Z149"/>
  <c r="V149"/>
  <c r="T149"/>
  <c r="E12" i="1" l="1"/>
  <c r="X192"/>
  <c r="X194" s="1"/>
  <c r="AD89" i="6"/>
  <c r="AD67"/>
  <c r="T48" i="9"/>
  <c r="E12"/>
  <c r="T18" s="1"/>
  <c r="T21" s="1"/>
  <c r="T24" l="1"/>
  <c r="T77" i="8"/>
  <c r="T27" i="9"/>
  <c r="E12" i="8"/>
  <c r="R56" i="6" l="1"/>
  <c r="R55"/>
  <c r="R63"/>
  <c r="AC63" s="1"/>
  <c r="Q23" l="1"/>
  <c r="AB149"/>
  <c r="R62"/>
  <c r="R61"/>
  <c r="AC61" s="1"/>
  <c r="R60"/>
  <c r="AC60" s="1"/>
  <c r="R59"/>
  <c r="AC56"/>
  <c r="AC55"/>
  <c r="AC53"/>
  <c r="R21"/>
  <c r="T210" i="4"/>
  <c r="P182" i="3"/>
  <c r="AD53" i="6" l="1"/>
  <c r="AC149"/>
  <c r="AD55"/>
  <c r="R182" i="3"/>
  <c r="Q182"/>
  <c r="R210" i="4"/>
  <c r="U191" i="1"/>
  <c r="AC59" i="6"/>
  <c r="R149"/>
  <c r="AC23"/>
  <c r="AD21" s="1"/>
  <c r="AF23" s="1"/>
  <c r="AC21"/>
  <c r="S87" i="5"/>
  <c r="T87"/>
  <c r="P87"/>
  <c r="Q87"/>
  <c r="P210" i="4"/>
  <c r="E12"/>
  <c r="E12" i="5" l="1"/>
  <c r="AC31" i="6"/>
  <c r="AD26" l="1"/>
  <c r="AD29"/>
  <c r="P62" i="9"/>
  <c r="E12" i="3" l="1"/>
  <c r="Q149" i="6" l="1"/>
  <c r="AC62"/>
  <c r="AD57" l="1"/>
  <c r="E12" l="1"/>
  <c r="A2" i="16" s="1"/>
  <c r="AD25" i="6"/>
  <c r="B1" i="16" l="1"/>
  <c r="D2" s="1"/>
  <c r="T34" i="9" s="1"/>
  <c r="AD149" i="6" l="1"/>
  <c r="AD150" s="1"/>
  <c r="B9" i="16"/>
  <c r="T41" i="9"/>
  <c r="T31"/>
  <c r="T29"/>
  <c r="D5" i="16"/>
  <c r="A5"/>
  <c r="B4"/>
  <c r="D13" l="1"/>
  <c r="D8"/>
</calcChain>
</file>

<file path=xl/comments1.xml><?xml version="1.0" encoding="utf-8"?>
<comments xmlns="http://schemas.openxmlformats.org/spreadsheetml/2006/main">
  <authors>
    <author>private</author>
  </authors>
  <commentList>
    <comment ref="B38" authorId="0">
      <text>
        <r>
          <rPr>
            <b/>
            <sz val="9"/>
            <color indexed="81"/>
            <rFont val="Tahoma"/>
            <family val="2"/>
          </rPr>
          <t>private:</t>
        </r>
        <r>
          <rPr>
            <sz val="9"/>
            <color indexed="81"/>
            <rFont val="Tahoma"/>
            <family val="2"/>
          </rPr>
          <t xml:space="preserve">
Jakarta &amp; Manado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private:</t>
        </r>
        <r>
          <rPr>
            <sz val="9"/>
            <color indexed="81"/>
            <rFont val="Tahoma"/>
            <family val="2"/>
          </rPr>
          <t xml:space="preserve">
Jakarta &amp; Manado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private:</t>
        </r>
        <r>
          <rPr>
            <sz val="9"/>
            <color indexed="81"/>
            <rFont val="Tahoma"/>
            <family val="2"/>
          </rPr>
          <t xml:space="preserve">
Jakarta &amp; Manado</t>
        </r>
      </text>
    </comment>
  </commentList>
</comments>
</file>

<file path=xl/comments2.xml><?xml version="1.0" encoding="utf-8"?>
<comments xmlns="http://schemas.openxmlformats.org/spreadsheetml/2006/main">
  <authors>
    <author>private</author>
  </authors>
  <commentList>
    <comment ref="B93" authorId="0">
      <text>
        <r>
          <rPr>
            <b/>
            <sz val="9"/>
            <color indexed="81"/>
            <rFont val="Tahoma"/>
            <family val="2"/>
          </rPr>
          <t>private:</t>
        </r>
        <r>
          <rPr>
            <sz val="9"/>
            <color indexed="81"/>
            <rFont val="Tahoma"/>
            <family val="2"/>
          </rPr>
          <t xml:space="preserve">
fullboard, hotel hilangkan</t>
        </r>
      </text>
    </comment>
    <comment ref="B136" authorId="0">
      <text>
        <r>
          <rPr>
            <b/>
            <sz val="9"/>
            <color indexed="81"/>
            <rFont val="Tahoma"/>
            <family val="2"/>
          </rPr>
          <t>private:</t>
        </r>
        <r>
          <rPr>
            <sz val="9"/>
            <color indexed="81"/>
            <rFont val="Tahoma"/>
            <family val="2"/>
          </rPr>
          <t xml:space="preserve">
fullboard, hotel hilangkan</t>
        </r>
      </text>
    </comment>
    <comment ref="B145" authorId="0">
      <text>
        <r>
          <rPr>
            <b/>
            <sz val="9"/>
            <color indexed="81"/>
            <rFont val="Tahoma"/>
            <family val="2"/>
          </rPr>
          <t>private:</t>
        </r>
        <r>
          <rPr>
            <sz val="9"/>
            <color indexed="81"/>
            <rFont val="Tahoma"/>
            <family val="2"/>
          </rPr>
          <t xml:space="preserve">
1 orang saja</t>
        </r>
      </text>
    </comment>
    <comment ref="B182" authorId="0">
      <text>
        <r>
          <rPr>
            <b/>
            <sz val="9"/>
            <color indexed="81"/>
            <rFont val="Tahoma"/>
            <family val="2"/>
          </rPr>
          <t>private:</t>
        </r>
        <r>
          <rPr>
            <sz val="9"/>
            <color indexed="81"/>
            <rFont val="Tahoma"/>
            <family val="2"/>
          </rPr>
          <t xml:space="preserve">
1 orang saja</t>
        </r>
      </text>
    </comment>
  </commentList>
</comments>
</file>

<file path=xl/comments3.xml><?xml version="1.0" encoding="utf-8"?>
<comments xmlns="http://schemas.openxmlformats.org/spreadsheetml/2006/main">
  <authors>
    <author>private</author>
  </authors>
  <commentList>
    <comment ref="O73" authorId="0">
      <text>
        <r>
          <rPr>
            <b/>
            <sz val="9"/>
            <color indexed="81"/>
            <rFont val="Tahoma"/>
            <family val="2"/>
          </rPr>
          <t>private:</t>
        </r>
        <r>
          <rPr>
            <sz val="9"/>
            <color indexed="81"/>
            <rFont val="Tahoma"/>
            <family val="2"/>
          </rPr>
          <t xml:space="preserve">
200rb</t>
        </r>
      </text>
    </comment>
    <comment ref="O74" authorId="0">
      <text>
        <r>
          <rPr>
            <b/>
            <sz val="9"/>
            <color indexed="81"/>
            <rFont val="Tahoma"/>
            <family val="2"/>
          </rPr>
          <t>private:</t>
        </r>
        <r>
          <rPr>
            <sz val="9"/>
            <color indexed="81"/>
            <rFont val="Tahoma"/>
            <family val="2"/>
          </rPr>
          <t xml:space="preserve">
200rb</t>
        </r>
      </text>
    </comment>
  </commentList>
</comments>
</file>

<file path=xl/sharedStrings.xml><?xml version="1.0" encoding="utf-8"?>
<sst xmlns="http://schemas.openxmlformats.org/spreadsheetml/2006/main" count="3589" uniqueCount="638">
  <si>
    <t>RINCIAN PERHITUNGAN BIAYA KEGIATAN TAHUN 2013</t>
  </si>
  <si>
    <t>Kementerian Negara/Lembaga</t>
  </si>
  <si>
    <t>:</t>
  </si>
  <si>
    <t>KEMENTERIAN PENDIDIKAN NASIONAL</t>
  </si>
  <si>
    <t>Unit Eselon 1</t>
  </si>
  <si>
    <t>Program</t>
  </si>
  <si>
    <t>Hasil</t>
  </si>
  <si>
    <t>Unit Eselon II</t>
  </si>
  <si>
    <t>Kegiatan</t>
  </si>
  <si>
    <t>Indikator Kinerja kegiatan</t>
  </si>
  <si>
    <t>Satuan Ukur dan Jenis Keluaran</t>
  </si>
  <si>
    <t>Volume</t>
  </si>
  <si>
    <t>Pagu</t>
  </si>
  <si>
    <t>Rp.</t>
  </si>
  <si>
    <t>No</t>
  </si>
  <si>
    <t>URAIAN</t>
  </si>
  <si>
    <t>Jumlah biaya</t>
  </si>
  <si>
    <t>LANGKAH KEGIATAN</t>
  </si>
  <si>
    <t>Bahan</t>
  </si>
  <si>
    <t>PERHITUNGAN BIAYA</t>
  </si>
  <si>
    <t>521211</t>
  </si>
  <si>
    <t>1</t>
  </si>
  <si>
    <t>4</t>
  </si>
  <si>
    <t>5</t>
  </si>
  <si>
    <t>7</t>
  </si>
  <si>
    <t>9</t>
  </si>
  <si>
    <t>thp</t>
  </si>
  <si>
    <t>x</t>
  </si>
  <si>
    <t>Rp</t>
  </si>
  <si>
    <t>521219 Belanja Barang Non Operasional Lainnya</t>
  </si>
  <si>
    <t>org</t>
  </si>
  <si>
    <t>hr</t>
  </si>
  <si>
    <t>Penyusunan Laporan</t>
  </si>
  <si>
    <t xml:space="preserve">JUMLAH </t>
  </si>
  <si>
    <t>DIREKTORAT JENDERAL KEBUDAYAAN</t>
  </si>
  <si>
    <t>DIREKTORAT PELESTARIAN CAGAR BUDAYA DAN PERMUSEUMAN</t>
  </si>
  <si>
    <t>CAGAR BUDAYA</t>
  </si>
  <si>
    <t>PELESTARIAN BUDAYA</t>
  </si>
  <si>
    <t>CAGAR BUDAYA YANG DILESTARIKAN</t>
  </si>
  <si>
    <t>JUMLAH CAGAR BUDAYA YANG DILESTARIKAN</t>
  </si>
  <si>
    <t>521213 Honor Output Kegiatan</t>
  </si>
  <si>
    <t>bln</t>
  </si>
  <si>
    <t>521211 Belanja Bahan</t>
  </si>
  <si>
    <t>Penyusunan laporan</t>
  </si>
  <si>
    <t>Rapat persiapan</t>
  </si>
  <si>
    <t>Penggandaan dokumen pengadaan</t>
  </si>
  <si>
    <t>eks</t>
  </si>
  <si>
    <t>unt</t>
  </si>
  <si>
    <t>Honor Output Kegiatan</t>
  </si>
  <si>
    <t>a</t>
  </si>
  <si>
    <t>b</t>
  </si>
  <si>
    <t>524119 Belanja Perjalanan Lainnya</t>
  </si>
  <si>
    <t>Transportasi Jakarta - Ternate PP</t>
  </si>
  <si>
    <t>Uang harian</t>
  </si>
  <si>
    <t>Belanja Perjalanan Lainnya</t>
  </si>
  <si>
    <t>c</t>
  </si>
  <si>
    <t>Transportasi Ternate - Ambon PP</t>
  </si>
  <si>
    <t>523199 Belanja Biaya Pemeliharaan Lainnya</t>
  </si>
  <si>
    <t>INVENTARISASI &amp; PENDAFTARAN PENINGGALAN PURBAKALA</t>
  </si>
  <si>
    <t>SURVEY POTENSI TINGGALAN ARKEOLOGI BAWAH AIR</t>
  </si>
  <si>
    <t>522141 Belanja Sewa</t>
  </si>
  <si>
    <t>Sewa kapal</t>
  </si>
  <si>
    <t>Sewa mobil</t>
  </si>
  <si>
    <t>Belanja Sewa</t>
  </si>
  <si>
    <t>522151 Belanja jasa profesi</t>
  </si>
  <si>
    <t>Honor informan</t>
  </si>
  <si>
    <t>Inventarisasi di Kep. Banda</t>
  </si>
  <si>
    <t>JUMLAH MASYARAKAT YANG MENGAPRESIASI CAGAR BUDAYA</t>
  </si>
  <si>
    <t>- Pembuatan Spanduk</t>
  </si>
  <si>
    <t>- Konsumsi rapat persiapan</t>
  </si>
  <si>
    <t>- Penyusunan laporan</t>
  </si>
  <si>
    <t xml:space="preserve">- Pembuatan kaos </t>
  </si>
  <si>
    <t>lb</t>
  </si>
  <si>
    <t>lap</t>
  </si>
  <si>
    <t>- Honor Moderator</t>
  </si>
  <si>
    <t>- Biaya pembuatan spanduk</t>
  </si>
  <si>
    <t>- Seminar Kit</t>
  </si>
  <si>
    <t xml:space="preserve">- Honor nara sumber </t>
  </si>
  <si>
    <t>jam</t>
  </si>
  <si>
    <t>Belanja Jasa Profesi</t>
  </si>
  <si>
    <t>Perjalanan Nara sumber</t>
  </si>
  <si>
    <t>DOKUMENTASI PELESTARIAN CAGAR BUDAYA</t>
  </si>
  <si>
    <t>JUMLAH DOKUMENTASI PELESTARIAN CAGAR BUDAYA</t>
  </si>
  <si>
    <t>DOKUMEN</t>
  </si>
  <si>
    <t>Pengiriman Surat Dinas Pos Pusat</t>
  </si>
  <si>
    <t>522191 Belanja Jasa Lainnya</t>
  </si>
  <si>
    <t>521114 Belanja Pengiriman surat dinas pos pusat</t>
  </si>
  <si>
    <t>Jasa Lainnya</t>
  </si>
  <si>
    <t>LAYANAN PERKANTORAN</t>
  </si>
  <si>
    <t>Gaji dan Tunjangan Pegawai</t>
  </si>
  <si>
    <t>Pembayaran gaji dan tunjangan</t>
  </si>
  <si>
    <t>th</t>
  </si>
  <si>
    <t>Pegawai</t>
  </si>
  <si>
    <t>Pemeliharaan Kantor</t>
  </si>
  <si>
    <t>Pemeliharaan Kendaraan Bermotor roda 4</t>
  </si>
  <si>
    <t>Personal Computer</t>
  </si>
  <si>
    <t>Laptop</t>
  </si>
  <si>
    <t>Genset</t>
  </si>
  <si>
    <t>523121 Belanja Biaya Pemeliharaan Peralatan dan Mesin</t>
  </si>
  <si>
    <t xml:space="preserve">Pemeliharaan Kendaraan Bermotor roda 2 </t>
  </si>
  <si>
    <t>2</t>
  </si>
  <si>
    <t>AC Split</t>
  </si>
  <si>
    <t xml:space="preserve">Printer </t>
  </si>
  <si>
    <t>Pemeliharaan peralatan dan mesin</t>
  </si>
  <si>
    <t>3</t>
  </si>
  <si>
    <t>Pembayaran Terkait Operasional Kantor</t>
  </si>
  <si>
    <t>KPA</t>
  </si>
  <si>
    <t>PPK</t>
  </si>
  <si>
    <t>PPSPM</t>
  </si>
  <si>
    <t>Bendahara Pengeluaran</t>
  </si>
  <si>
    <t>Ketua SAI</t>
  </si>
  <si>
    <t>521115 Honor yang terkait dgn operasional satuan kerja</t>
  </si>
  <si>
    <t>- Biaya perjalan dinas pengembangan SDM di Magelang</t>
  </si>
  <si>
    <t>Uang Harian</t>
  </si>
  <si>
    <t>Uang Hotel Gol. III</t>
  </si>
  <si>
    <r>
      <t>521111 Bel</t>
    </r>
    <r>
      <rPr>
        <b/>
        <sz val="10"/>
        <color indexed="8"/>
        <rFont val="Arial"/>
        <family val="2"/>
      </rPr>
      <t xml:space="preserve">anja Keperluan Perkantoran </t>
    </r>
  </si>
  <si>
    <t>Perjalanan Dinas Biasa (DN)</t>
  </si>
  <si>
    <t>Transport Ternate - Jakarta PP</t>
  </si>
  <si>
    <t>Keperluan Perkantoran</t>
  </si>
  <si>
    <t>-Biaya perjalanan dinas pengembangan SDM di Jakarta</t>
  </si>
  <si>
    <t>Honorarium nara sumber</t>
  </si>
  <si>
    <t>Jasa Profesi</t>
  </si>
  <si>
    <t>Honor yang terkait dgn operasional satuan kerja</t>
  </si>
  <si>
    <t>&gt; Pembinaan/koordinasi ke Jakarta</t>
  </si>
  <si>
    <t>Transport Ternate - Jakarta</t>
  </si>
  <si>
    <t>&gt; Pembinaan/koordinasi ke Ambon</t>
  </si>
  <si>
    <t>Transport Ternate - Ambon</t>
  </si>
  <si>
    <t>Uang Hotel Gol. IV</t>
  </si>
  <si>
    <t>&gt; Pembinaan/koordinasi ke Jayapura</t>
  </si>
  <si>
    <t>&gt; Pembinaan/koordinasi ke Makassar</t>
  </si>
  <si>
    <t>Transport Ternate - Makasar</t>
  </si>
  <si>
    <t>&gt; Pembinaan/koordinasi ke Manokwari</t>
  </si>
  <si>
    <t>&gt; Pembinaan/koordinasi ke Manado</t>
  </si>
  <si>
    <t>Transport Ternate - Manado</t>
  </si>
  <si>
    <t>Kebutuhan sehari-hari perkantoran</t>
  </si>
  <si>
    <t xml:space="preserve">521111 Belanja Keperluan Perkantoran </t>
  </si>
  <si>
    <t>- Foto copy dan penggandaan</t>
  </si>
  <si>
    <t>- Konsumsi Rapat dan hidangan tamu</t>
  </si>
  <si>
    <t xml:space="preserve">- Honor Pengemudi </t>
  </si>
  <si>
    <t>- Honor Satpam</t>
  </si>
  <si>
    <t>- Honor Tukang Kebersihan</t>
  </si>
  <si>
    <t>Honor tetap</t>
  </si>
  <si>
    <t>Pengiriman surat dinas</t>
  </si>
  <si>
    <t>Belanja Pengiriman surat dinas pos pusat</t>
  </si>
  <si>
    <t>Langganan Daya dan Jasa</t>
  </si>
  <si>
    <t>522119 Belanja Langganan daya dan jasa lainnya</t>
  </si>
  <si>
    <t>522111 Belanja Langganan Listrik</t>
  </si>
  <si>
    <t>522112 Belanja Langganan Telepon</t>
  </si>
  <si>
    <t>522113 Belanja Langganan Air</t>
  </si>
  <si>
    <t>Pembayaran listrik</t>
  </si>
  <si>
    <t>Pembayaran langganan telepon</t>
  </si>
  <si>
    <t>Pembayaran langganan PDAM</t>
  </si>
  <si>
    <t>Pembayaran langganan internet</t>
  </si>
  <si>
    <t xml:space="preserve"> Belanja Langganan Listrik</t>
  </si>
  <si>
    <t xml:space="preserve"> Belanja Langganan Telepon</t>
  </si>
  <si>
    <t xml:space="preserve"> Belanja Langganan Air</t>
  </si>
  <si>
    <t>UNIT</t>
  </si>
  <si>
    <t>&gt; Honor panitia pengadaan</t>
  </si>
  <si>
    <t>- Pejabat penerima barang/jasa</t>
  </si>
  <si>
    <t>- Penggandaan dokumen pengadaan</t>
  </si>
  <si>
    <t xml:space="preserve">532111 Belanja Modal Peralatan dan Mesin </t>
  </si>
  <si>
    <t>Modal Peralatan &amp; Mesin</t>
  </si>
  <si>
    <t>Barang Non Ops. Lainnya</t>
  </si>
  <si>
    <t>JUMLAH PERANGKAT PENGOLAH DATA</t>
  </si>
  <si>
    <t>PERANGKAT PENGOLAH DATA DAN KOMUNIKASI</t>
  </si>
  <si>
    <t>PERALATAN DAN FASILITAS PERKANTORAN</t>
  </si>
  <si>
    <t>&gt; Pengadaan peralatan dan fasilitas perkantoran</t>
  </si>
  <si>
    <t>Sewa</t>
  </si>
  <si>
    <t>Evaluasi Kinerja Juru Pelihara</t>
  </si>
  <si>
    <r>
      <t>- Honor pramuba</t>
    </r>
    <r>
      <rPr>
        <sz val="10"/>
        <color indexed="8"/>
        <rFont val="Arial"/>
        <family val="2"/>
      </rPr>
      <t xml:space="preserve">kti </t>
    </r>
  </si>
  <si>
    <t xml:space="preserve">- Panitia pengadaan barang dan jasa </t>
  </si>
  <si>
    <t>Barang Non Ops Lainnya</t>
  </si>
  <si>
    <t>524111 Belanja Perjalanan Biasa</t>
  </si>
  <si>
    <t>Biaya penginapan</t>
  </si>
  <si>
    <t>NIP. 19660112 199203 1 001</t>
  </si>
  <si>
    <t>&gt; Pengadaan pengolah data dan alat komunikasi</t>
  </si>
  <si>
    <t>Penanggung Jawab Kegiatan</t>
  </si>
  <si>
    <t>Kuasa Pengguna Anggaran</t>
  </si>
  <si>
    <t>Staf Pengelola keuangan</t>
  </si>
  <si>
    <t>&gt;  Biaya transport sosialisasi/pelatihan dalam kota</t>
  </si>
  <si>
    <t>hal</t>
  </si>
  <si>
    <t xml:space="preserve">Jasa penerbitan buku </t>
  </si>
  <si>
    <t>PESERTA INTERNALISASI CAGAR BUDAYA</t>
  </si>
  <si>
    <t>a. Pekerjaan fisik</t>
  </si>
  <si>
    <t>Biaya Pemeliharaan Lainnya</t>
  </si>
  <si>
    <t>Transport juru pelihara :</t>
  </si>
  <si>
    <t>- Paket fullboard meeting</t>
  </si>
  <si>
    <t>Drs. Laode Muhammad Aksa, M.Hum</t>
  </si>
  <si>
    <t>TERSEDIANYA PERANGKAT PENGOLAH DATA DAN KOMUNIKASI</t>
  </si>
  <si>
    <t>MENINGKATNYA PELESTARIAN CAGAR BUDAYA</t>
  </si>
  <si>
    <t>MENINGKATNYA JUMLAH CAGAR BUDAYA YANG DIINVENTARISASI</t>
  </si>
  <si>
    <t>MENINGKATNYA JUMLAH MASYARAKAT YANG MENGAPRESIASI CAGAR BUDAYA</t>
  </si>
  <si>
    <t>MENINGKATNYA INTERNALISASI PELESTARIAN CAGAR BUDAYA</t>
  </si>
  <si>
    <t>d. Pengelolaan kegiatan (7.75% x Pekerjaan fisik)</t>
  </si>
  <si>
    <t>ZONASI/ PEMINTAKATAN</t>
  </si>
  <si>
    <t>A</t>
  </si>
  <si>
    <t>B</t>
  </si>
  <si>
    <t>Pelaporan</t>
  </si>
  <si>
    <t>Sewa Mobil</t>
  </si>
  <si>
    <t>Biaya Penginapan</t>
  </si>
  <si>
    <t>keg</t>
  </si>
  <si>
    <t>Evaluasi di Kab. Jayapura</t>
  </si>
  <si>
    <t>Evaluasi di Kab. Maluku Tenggara</t>
  </si>
  <si>
    <t>C</t>
  </si>
  <si>
    <t>D</t>
  </si>
  <si>
    <t>PEMUGARAN BENTENG</t>
  </si>
  <si>
    <t>NASKAH HASIL KAJIAN PELESTARIAN CAGAR BUDAYA</t>
  </si>
  <si>
    <t>NASKAH</t>
  </si>
  <si>
    <t>JUMLAH NASKAH PELESTARIAN CAGAR BUDAYA</t>
  </si>
  <si>
    <t>PESERTA</t>
  </si>
  <si>
    <t>- Biaya keperluan sehari-hari</t>
  </si>
  <si>
    <t>Pembayaran Gaji dan Tunjangan</t>
  </si>
  <si>
    <t>Penyelenggaraan Operasional dan Pemeliharaan Perkantoran</t>
  </si>
  <si>
    <t>Petugas SAI (1 Org)</t>
  </si>
  <si>
    <t>Petugas SIMAK (1 Org)</t>
  </si>
  <si>
    <t>JUMLAH BULAN LAYANAN PERKANTORAN</t>
  </si>
  <si>
    <t>BULAN LAYANAN</t>
  </si>
  <si>
    <t>12 (Dua Belas)</t>
  </si>
  <si>
    <t>c. Pengawasan konstruksi (4.45% x Pekerjaan fisik)</t>
  </si>
  <si>
    <t>=(11200000+(11200000*1.5%)+(11200000*15%))</t>
  </si>
  <si>
    <t>TERSEDIANYA PERALATAN DAN FASILITAS PERKANTORAN</t>
  </si>
  <si>
    <t>JUMLAH PERALATAN DAN FASILITAS PERKANTORAN</t>
  </si>
  <si>
    <t>522151 
Belanja jasa profesi</t>
  </si>
  <si>
    <t>- Uang Harian</t>
  </si>
  <si>
    <t>- Uang Hotel</t>
  </si>
  <si>
    <t>Seminar kit</t>
  </si>
  <si>
    <t>Spanduk</t>
  </si>
  <si>
    <t>lok</t>
  </si>
  <si>
    <t xml:space="preserve">- Sewa mobil </t>
  </si>
  <si>
    <t>sheet</t>
  </si>
  <si>
    <t>Honorarium moderator</t>
  </si>
  <si>
    <t>Lemari buku kayu</t>
  </si>
  <si>
    <t>Mesin Potong Rumput</t>
  </si>
  <si>
    <t xml:space="preserve">Kursi Meeting </t>
  </si>
  <si>
    <t>set</t>
  </si>
  <si>
    <t>Uang saku</t>
  </si>
  <si>
    <t>KEMENTERIAN PENDIDIKAN DAN KEBUDAYAAN</t>
  </si>
  <si>
    <t>JUMLAH CAGAR BUDAYA YANG DIINVENTARISASI</t>
  </si>
  <si>
    <t>12</t>
  </si>
  <si>
    <t>Petugas pengelola administrasi belanja pegawai</t>
  </si>
  <si>
    <t>523111 Belanja Biaya Pemeliharaan Gedung dan Bangunan</t>
  </si>
  <si>
    <t>Pemeliharaan gedung kantor (gedung tingkat)</t>
  </si>
  <si>
    <t>Transport Ternate - Yogyakarta PP</t>
  </si>
  <si>
    <t>Transport  Yogyakarta - Magelang PP</t>
  </si>
  <si>
    <t>Pemeliharaan gedung &amp; bangunan</t>
  </si>
  <si>
    <t>- Kertas HVS</t>
  </si>
  <si>
    <t>Rim</t>
  </si>
  <si>
    <t>- Kertas Jilid</t>
  </si>
  <si>
    <t>- Plastik Jilid</t>
  </si>
  <si>
    <t>- Lakban Hitam</t>
  </si>
  <si>
    <t>Roll</t>
  </si>
  <si>
    <t>- Tinta Hitam</t>
  </si>
  <si>
    <t>Btl</t>
  </si>
  <si>
    <t>- Tinta Warna</t>
  </si>
  <si>
    <t>Transportasi Banda - P. Ay PP</t>
  </si>
  <si>
    <t>Transportasi Banda - P. Gunung Api PP</t>
  </si>
  <si>
    <t>Transportasi Banda - P. Hatta PP</t>
  </si>
  <si>
    <t>Transportasi Banda - P. Wayer PP</t>
  </si>
  <si>
    <t>Transportasi Banda - P. Neilaka PP</t>
  </si>
  <si>
    <t>Taksi PP</t>
  </si>
  <si>
    <t xml:space="preserve">Biaya penginapan </t>
  </si>
  <si>
    <t>Daftar Situs :</t>
  </si>
  <si>
    <t>Reruntuhan Gerbang Perk. Matalengko</t>
  </si>
  <si>
    <t>Pulau Ai</t>
  </si>
  <si>
    <t>Situs Bekas Gereja Holland Bedehuis</t>
  </si>
  <si>
    <t>Benteng Refengie / Revengie</t>
  </si>
  <si>
    <t>Pulau Ai / Ay</t>
  </si>
  <si>
    <t>Batterij Batavia</t>
  </si>
  <si>
    <t>Pulau Gunung Api</t>
  </si>
  <si>
    <t>Batterij Siebensburg</t>
  </si>
  <si>
    <t>Benteng de Koop</t>
  </si>
  <si>
    <t>Schans kijk in den Pot</t>
  </si>
  <si>
    <t>Kubu Pertahanan de Lage</t>
  </si>
  <si>
    <t>Pulau Hatta</t>
  </si>
  <si>
    <t>Kubu Pertahanan Neilaka</t>
  </si>
  <si>
    <t>Pulau Neilaka</t>
  </si>
  <si>
    <t>Kuilenburg/Salomon</t>
  </si>
  <si>
    <t>Salomon</t>
  </si>
  <si>
    <t>Benteng Storm/Uring</t>
  </si>
  <si>
    <t>Uring</t>
  </si>
  <si>
    <t>Kubu Pertahanan Waling Kecil</t>
  </si>
  <si>
    <t>Waling Kecil</t>
  </si>
  <si>
    <t>Fort Dannex of de Morgester</t>
  </si>
  <si>
    <t>Wayer</t>
  </si>
  <si>
    <t>Benteng Concordia</t>
  </si>
  <si>
    <t>Wayer / Waer</t>
  </si>
  <si>
    <t>Inventarisasi di Maluku Tenggara Barat</t>
  </si>
  <si>
    <t>Komplek Lutur Soa Peri</t>
  </si>
  <si>
    <t>Serwaru</t>
  </si>
  <si>
    <t>Megalitik Lutur Yalmiera</t>
  </si>
  <si>
    <t>Rumah Tua Sakti</t>
  </si>
  <si>
    <t>Inventarisasi di Seram Bagian Barat</t>
  </si>
  <si>
    <t xml:space="preserve"> </t>
  </si>
  <si>
    <t>Benteng Piru/Wambuis/Wambais</t>
  </si>
  <si>
    <t>Piru</t>
  </si>
  <si>
    <t>Kubu Pertahanan Harderburg</t>
  </si>
  <si>
    <t>Kambelo</t>
  </si>
  <si>
    <t>Kubu Pertahanan Hatumete</t>
  </si>
  <si>
    <t>Lumoli</t>
  </si>
  <si>
    <t>Kubu Pertahanan Kaibobo</t>
  </si>
  <si>
    <t>Kaibobo</t>
  </si>
  <si>
    <t>Kubu Pertahanan Wambais</t>
  </si>
  <si>
    <t>Megalitik Eti</t>
  </si>
  <si>
    <t>Eti</t>
  </si>
  <si>
    <t>Megalitik Kaibobo</t>
  </si>
  <si>
    <t>Reruntuhan Pintu Gerbang</t>
  </si>
  <si>
    <t>Kubu Pertahanan Overburg</t>
  </si>
  <si>
    <t>Luhu</t>
  </si>
  <si>
    <t>Benteng Wantrouw</t>
  </si>
  <si>
    <t>Tumalehu Timur</t>
  </si>
  <si>
    <t>Inventarisasi di Kab. Maluku Tengah</t>
  </si>
  <si>
    <t>Transportasi Ambon - Haruku PP</t>
  </si>
  <si>
    <t>Transportasi Ambon - Saparua PP</t>
  </si>
  <si>
    <t>Transportasi Saparua - Nusa Laut PP</t>
  </si>
  <si>
    <t>Benteng Asilulu</t>
  </si>
  <si>
    <t>Leihitu</t>
  </si>
  <si>
    <t>Benteng Harlem / Van Der Capelen</t>
  </si>
  <si>
    <t>Benteng Leiden</t>
  </si>
  <si>
    <t>Benteng Rotterdam</t>
  </si>
  <si>
    <t>Benteng Van Verre</t>
  </si>
  <si>
    <t>Benteng Wawane</t>
  </si>
  <si>
    <t>Benteng Zeith</t>
  </si>
  <si>
    <t>Masjid Tua Zeith</t>
  </si>
  <si>
    <t>Situs Bekas Gereja Immanuel</t>
  </si>
  <si>
    <t>Monumen Patung Ch. Tiahahu</t>
  </si>
  <si>
    <t>Nusa Laut</t>
  </si>
  <si>
    <t>Benteng Hethariee</t>
  </si>
  <si>
    <t>Pulau Haruku</t>
  </si>
  <si>
    <t>Masjid Tua Kailolo</t>
  </si>
  <si>
    <t>Rumah Adat</t>
  </si>
  <si>
    <t>Rumah Kolonial HERMAN van Speult</t>
  </si>
  <si>
    <t>Benteng Amaihal</t>
  </si>
  <si>
    <t>Saparua</t>
  </si>
  <si>
    <t>Benteng de Post</t>
  </si>
  <si>
    <t xml:space="preserve">Kubu Pertahanan Delf </t>
  </si>
  <si>
    <t>Situs Waisisil</t>
  </si>
  <si>
    <t>Benteng Uring/Hatua/Vlissengen</t>
  </si>
  <si>
    <t>Inventarisasi di Buru Selatan</t>
  </si>
  <si>
    <t>Kampung Baru</t>
  </si>
  <si>
    <t>Gereja Kuno Mangeswaen</t>
  </si>
  <si>
    <t>Mangeswaen</t>
  </si>
  <si>
    <t>Baileu Masawoi</t>
  </si>
  <si>
    <t>Masawoi</t>
  </si>
  <si>
    <t>Benteng Selati</t>
  </si>
  <si>
    <t>Masjid Kuno Maswoi</t>
  </si>
  <si>
    <t>Benteng Nanali</t>
  </si>
  <si>
    <t>Nanali</t>
  </si>
  <si>
    <t>Benteng Wailua</t>
  </si>
  <si>
    <t>Tifu</t>
  </si>
  <si>
    <t>Makam  Ulima, Kompleks</t>
  </si>
  <si>
    <t>Ulima</t>
  </si>
  <si>
    <t>Rumah Selang</t>
  </si>
  <si>
    <t>Wainono</t>
  </si>
  <si>
    <t>Kubu Pertahanan Wamsisi</t>
  </si>
  <si>
    <t>Wamsisi</t>
  </si>
  <si>
    <t>(lima puluh delapan)</t>
  </si>
  <si>
    <t>Jumlah Biaya</t>
  </si>
  <si>
    <t>BELANJA</t>
  </si>
  <si>
    <t>PENERBITAN BULETIN</t>
  </si>
  <si>
    <t>Pengiriman buletin</t>
  </si>
  <si>
    <t>exp</t>
  </si>
  <si>
    <t>Transportasi Ambon - Banda PP</t>
  </si>
  <si>
    <t>Taksi berangkat (Ternate - Ambon - Banda)</t>
  </si>
  <si>
    <t>Transportasi Ambon - Piru PP</t>
  </si>
  <si>
    <t>Taksi berangkat (Ternate - Ambon)</t>
  </si>
  <si>
    <t>Taksi kembali (Ambon-Ternate)</t>
  </si>
  <si>
    <t>Transportasi Ambon - Buru Selatan PP</t>
  </si>
  <si>
    <t>Survey di Raja Ampat</t>
  </si>
  <si>
    <t>Survey di Ambon</t>
  </si>
  <si>
    <t>Sewa alat selam</t>
  </si>
  <si>
    <t>Transportasi Ternate - Raja Ampat PP</t>
  </si>
  <si>
    <t>Taksi Ternate - Raja Ampat PP</t>
  </si>
  <si>
    <t>Transportasi Ternate - Kota Ambon</t>
  </si>
  <si>
    <t xml:space="preserve">Rapat Koordinasi Teknis </t>
  </si>
  <si>
    <t>Rapat bidang Pelindungan, Pemanfaatan dan Pengembangan Prov. Maluku Utara</t>
  </si>
  <si>
    <t>Transportasi Peserta dari tempat kedudukan ke Kota Ternate PP :</t>
  </si>
  <si>
    <t>Kota Ternate</t>
  </si>
  <si>
    <t>Kota Tidore Kepulauan</t>
  </si>
  <si>
    <t>Kabupaten Halmahera Selatan</t>
  </si>
  <si>
    <t>Kabupaten Halmahera Barat</t>
  </si>
  <si>
    <t>Kabupaten Halmahera Utara</t>
  </si>
  <si>
    <t>Kabupaten Halmahera Timur</t>
  </si>
  <si>
    <t>Kabupaten Pulau Morotai</t>
  </si>
  <si>
    <t>Kabupaten Kep. Sula</t>
  </si>
  <si>
    <t>Kabupaten Taliabu</t>
  </si>
  <si>
    <t>Kabupaten Halmahera Tengah</t>
  </si>
  <si>
    <t>Transportasi Ternate - Ambon</t>
  </si>
  <si>
    <t>Pemugaran Benteng Tahula Tahap II</t>
  </si>
  <si>
    <t>b. Perencanaan konstruksi (6.35% x Pekerjaan fisik)</t>
  </si>
  <si>
    <t>Taksi Ternate - Kota Ambon PP</t>
  </si>
  <si>
    <t>Zonasi Benteng Amsterdam, Kota Ambon</t>
  </si>
  <si>
    <t>Perjalanan dalam rangka zonasi cagar budaya</t>
  </si>
  <si>
    <t>- Uang harian perjalanan dinas (Maluku)</t>
  </si>
  <si>
    <t>- Biaya penginapan</t>
  </si>
  <si>
    <t>Zonasi Benteng Nasau, Banda</t>
  </si>
  <si>
    <t>Zonasi Benteng Bernavelt, Bacan</t>
  </si>
  <si>
    <t xml:space="preserve">- Transportasi Ternate-Bacan PP </t>
  </si>
  <si>
    <t xml:space="preserve">- Uang harian perjalanan dinas </t>
  </si>
  <si>
    <t xml:space="preserve">- Transportasi Jakarta-Bacan PP </t>
  </si>
  <si>
    <t>SOSIALISASI UNDANG-UNDANG CAGAR BUDAYA DI TOBELO, KABUPATEN HALMAHERA UTARA</t>
  </si>
  <si>
    <t>Perjalanan Tim ke Tobelo dalam rangka pelaksanaan sosialisasi</t>
  </si>
  <si>
    <t>Transportasi Ternate - Tobelo PP</t>
  </si>
  <si>
    <t>Transportasi Peserta dari tempat kedudukan ke Tobelo PP :</t>
  </si>
  <si>
    <t>Kecamatan Kao</t>
  </si>
  <si>
    <t>Kecamatan Tobelo</t>
  </si>
  <si>
    <t>Kecamatan Galela</t>
  </si>
  <si>
    <t>Kecamatan Malifut</t>
  </si>
  <si>
    <t>kecamatan Loloda</t>
  </si>
  <si>
    <t>Penggandaan UU No. 11 Tahun 2010 tentang Cagar Budaya</t>
  </si>
  <si>
    <t>Jasa penerbitan</t>
  </si>
  <si>
    <t>- Kota Ambon</t>
  </si>
  <si>
    <t>- Kab. Maluku Barat Daya</t>
  </si>
  <si>
    <t>- Kab. Maluku Tengah</t>
  </si>
  <si>
    <t>- Kab. Pulau Buru</t>
  </si>
  <si>
    <t>Evaluasi di Kab. Merauke</t>
  </si>
  <si>
    <t>Evaluasi di Kab. Sorong</t>
  </si>
  <si>
    <t>Evaluasi di Kab. Maluku Tengah</t>
  </si>
  <si>
    <t xml:space="preserve">Honor Narasumber </t>
  </si>
  <si>
    <t>Transport Lokal</t>
  </si>
  <si>
    <t>Biaya hotel</t>
  </si>
  <si>
    <t>Perjalanan nara sumber dari Jakarta</t>
  </si>
  <si>
    <t xml:space="preserve">Uang harian dalam kota </t>
  </si>
  <si>
    <t>PEMELIHARAAN CAGAR BUDAYA</t>
  </si>
  <si>
    <t>Pameran Legu Gam</t>
  </si>
  <si>
    <t>- Pencetakan brosur</t>
  </si>
  <si>
    <t>- Pembangunan both</t>
  </si>
  <si>
    <t>- Transport lokal petugas stand</t>
  </si>
  <si>
    <t>- Sewa Both</t>
  </si>
  <si>
    <t>PAMERAN KEPURBAKALAAN</t>
  </si>
  <si>
    <t>Alat Primer</t>
  </si>
  <si>
    <t>Skala Mosh (Palu geologi)</t>
  </si>
  <si>
    <t>Protimeter</t>
  </si>
  <si>
    <t>Termometer max-min ex RRC</t>
  </si>
  <si>
    <t>Meteran 100 m</t>
  </si>
  <si>
    <t>Handy microskop Zoom 5x</t>
  </si>
  <si>
    <t>Loupe lipat 3 lensa</t>
  </si>
  <si>
    <t>Higrometer merek TPA ex Jerman</t>
  </si>
  <si>
    <t>Ion meter</t>
  </si>
  <si>
    <t>Jangka Sorong ex RRC</t>
  </si>
  <si>
    <t>Alat Skunder</t>
  </si>
  <si>
    <t>Muffle furnice</t>
  </si>
  <si>
    <t>Oven</t>
  </si>
  <si>
    <t>Timbangan analitik ex RRC Mrk Sonic</t>
  </si>
  <si>
    <t>Ayakan bertingkat</t>
  </si>
  <si>
    <t>Shaker</t>
  </si>
  <si>
    <t>Alat titrasi</t>
  </si>
  <si>
    <t>Hot plate stirrer</t>
  </si>
  <si>
    <t>Peralatan gelas plastik 250 ml</t>
  </si>
  <si>
    <t>Cawan patina 150 mm</t>
  </si>
  <si>
    <t>Lemari asam (1 set) SSN</t>
  </si>
  <si>
    <t>Compression tester</t>
  </si>
  <si>
    <t>vacum pump(daya hisap 1/4 pk)</t>
  </si>
  <si>
    <t>Color Chat</t>
  </si>
  <si>
    <t>Vicotester</t>
  </si>
  <si>
    <t>Mini grenda</t>
  </si>
  <si>
    <t>&gt; Pengadaan alat laboratorium</t>
  </si>
  <si>
    <t>Transportasi Ternate - Merauke PP</t>
  </si>
  <si>
    <t xml:space="preserve">Transportasi Ternate - Jayapura PP </t>
  </si>
  <si>
    <t>Transportasi Ternate - Sorong PP</t>
  </si>
  <si>
    <t xml:space="preserve">Transportasi Ternate - Maluku Tenggara PP </t>
  </si>
  <si>
    <t>Sewa speed</t>
  </si>
  <si>
    <t>Transportasi Ambon - Serwaru PP</t>
  </si>
  <si>
    <t>PEMBINAAN JURU PELIHARA</t>
  </si>
  <si>
    <t>Biaya perjalanan dinas Tim Ternate</t>
  </si>
  <si>
    <t>- Transport Ternate - Ambon PP</t>
  </si>
  <si>
    <t>- Taksi PP</t>
  </si>
  <si>
    <t>- Transportasi Ternate-Ambon PP</t>
  </si>
  <si>
    <t xml:space="preserve">- Transportasi Jakarta-Ambon PP </t>
  </si>
  <si>
    <t xml:space="preserve">- Biaya penginapan </t>
  </si>
  <si>
    <t xml:space="preserve">- Transportasi Ternate-Banda PP </t>
  </si>
  <si>
    <t xml:space="preserve">- Transportasi Jakarta-Banda PP </t>
  </si>
  <si>
    <t>- Sewa mobil</t>
  </si>
  <si>
    <t>- Pelaporan</t>
  </si>
  <si>
    <t>- Paket fullday meeting</t>
  </si>
  <si>
    <t>- Uang saku paket fullday didalam kota</t>
  </si>
  <si>
    <t>Evaluasi di Kab. Raja Ampat</t>
  </si>
  <si>
    <t>Evaluasi di Kab. Maluku Barat Daya</t>
  </si>
  <si>
    <t xml:space="preserve">Transportasi Ternate - Banda PP </t>
  </si>
  <si>
    <t>Transportasi Ternate - Kab. MBD PP</t>
  </si>
  <si>
    <t>Pemetaan Cagar Budaya Banda Naira</t>
  </si>
  <si>
    <t>Taksi kembali (Ternate - Ambon - Banda)</t>
  </si>
  <si>
    <t>Uang penginapan</t>
  </si>
  <si>
    <t>Perjalanan fasilitator dari Jakarta</t>
  </si>
  <si>
    <t xml:space="preserve">Jasa pencetakan peta </t>
  </si>
  <si>
    <t>PEMETAAN CAGAR BUDAYA</t>
  </si>
  <si>
    <t>Belanja Jasa Lainnya</t>
  </si>
  <si>
    <t xml:space="preserve">Jasa design peta </t>
  </si>
  <si>
    <t>Inventarisasi di Raja Ampat</t>
  </si>
  <si>
    <t>- Honor Tenaga Teknis</t>
  </si>
  <si>
    <t>Honor tenaga lokal</t>
  </si>
  <si>
    <t>Kipas angin</t>
  </si>
  <si>
    <t>Meja lab</t>
  </si>
  <si>
    <t>AC split</t>
  </si>
  <si>
    <t>Kamera pocket</t>
  </si>
  <si>
    <t>AC standing 5 Pk</t>
  </si>
  <si>
    <t>Pejabat penerima barang dan jasa</t>
  </si>
  <si>
    <t>Pejabat pengadaan barang dan jasa</t>
  </si>
  <si>
    <t>- Honor Tenaga Administrasi</t>
  </si>
  <si>
    <t>DATA BASE INVENTARISASI CAGAR BUDAYA</t>
  </si>
  <si>
    <t>Pengumpulan data di lapangan</t>
  </si>
  <si>
    <t>Pelaksanaan kegiatan</t>
  </si>
  <si>
    <t>Persiapan</t>
  </si>
  <si>
    <t>Pelaksanaan</t>
  </si>
  <si>
    <t>Horden</t>
  </si>
  <si>
    <t>m</t>
  </si>
  <si>
    <t>ATK</t>
  </si>
  <si>
    <t>Rapat penyusunan laporan</t>
  </si>
  <si>
    <t>- Pembuatan Pin Pelestarian Cagar Budaya</t>
  </si>
  <si>
    <t>- Pencetakan poster</t>
  </si>
  <si>
    <t>Pameran Negeri Seribu Benteng di Ambon</t>
  </si>
  <si>
    <t>Pameran Bersama (101 Purbakala) di Jayapura</t>
  </si>
  <si>
    <t>Transportasi Ternate - Jayapura</t>
  </si>
  <si>
    <t>Perjalanan Tim ke Jayapura dalam rangka pelaksanaan sosialisasi</t>
  </si>
  <si>
    <t>Transportasi Ternate - Jayapura PP</t>
  </si>
  <si>
    <t>Transportasi Jakarta - Jayapura PP</t>
  </si>
  <si>
    <t>d</t>
  </si>
  <si>
    <t>e</t>
  </si>
  <si>
    <t>f</t>
  </si>
  <si>
    <t>Foto copy matriks pemantauan</t>
  </si>
  <si>
    <t>1)</t>
  </si>
  <si>
    <t>2)</t>
  </si>
  <si>
    <t>3)</t>
  </si>
  <si>
    <t>4)</t>
  </si>
  <si>
    <t>5)</t>
  </si>
  <si>
    <t>6)</t>
  </si>
  <si>
    <t>7)</t>
  </si>
  <si>
    <t>Airporttax PP</t>
  </si>
  <si>
    <t>Tali nilon</t>
  </si>
  <si>
    <t>Ember plastik</t>
  </si>
  <si>
    <t>Cetok</t>
  </si>
  <si>
    <t>Pembuatan patok (kayu 5x5)</t>
  </si>
  <si>
    <t>bt</t>
  </si>
  <si>
    <t>Pembuatan skala (Tripleks 1cm)</t>
  </si>
  <si>
    <t>Bateray GPS</t>
  </si>
  <si>
    <t>- Pencetakan booklet benteng di Maluku Utara dan Maluku</t>
  </si>
  <si>
    <t>- Pencetakan stiker pelestarian</t>
  </si>
  <si>
    <t>Perjalanan Tim ke Jayapura dalam rangka survey lokasi</t>
  </si>
  <si>
    <t>- Rapat persiapan</t>
  </si>
  <si>
    <t>- Alat tulis</t>
  </si>
  <si>
    <t>Alat tulis</t>
  </si>
  <si>
    <t>- Pembayaran honor juru pelihara</t>
  </si>
  <si>
    <t>10</t>
  </si>
  <si>
    <t>Pembuatan ayakan</t>
  </si>
  <si>
    <t>Plastik sample</t>
  </si>
  <si>
    <t>pak</t>
  </si>
  <si>
    <t>Kuas</t>
  </si>
  <si>
    <t>Cat hitam</t>
  </si>
  <si>
    <t>Cat putih</t>
  </si>
  <si>
    <t>kg</t>
  </si>
  <si>
    <t>Terpal (3 x 4 m)</t>
  </si>
  <si>
    <t>- Pencetakan stiker</t>
  </si>
  <si>
    <t>rim</t>
  </si>
  <si>
    <t>- Uang harian paket fullboard didalam kota</t>
  </si>
  <si>
    <t>524114 Belanja Perjalanan Dinas Paket Meeting</t>
  </si>
  <si>
    <t>- Transport peserta sosialisasi PP</t>
  </si>
  <si>
    <t>SOSIALISASI UNDANG-UNDANG CAGAR BUDAYA DI JAYAPURA PROV. PAPUA</t>
  </si>
  <si>
    <t>Perjalanan Tim ke Tobelo dalam rangka persiapan sosialisasi</t>
  </si>
  <si>
    <t>Perjalanaan Paket Meeting</t>
  </si>
  <si>
    <t>Perjalanan Nara Sumber ke Tobelo dalam rangka pelaksanaan sosialisasi</t>
  </si>
  <si>
    <t>Uang saku perjalanan luar kota</t>
  </si>
  <si>
    <t>73 (tujuh puluh tiga)</t>
  </si>
  <si>
    <t>4 (EMPAT)</t>
  </si>
  <si>
    <t>600 (ENAM RATUS)</t>
  </si>
  <si>
    <t>50 (LIMA PULUH)</t>
  </si>
  <si>
    <t>Belanja</t>
  </si>
  <si>
    <t>RINCIAN PERHITUNGAN BIAYA KEGIATAN TAHUN 2014</t>
  </si>
  <si>
    <t>Pemeliharaan Kendaraan Bermotor roda 4 (Mobil Film)</t>
  </si>
  <si>
    <t>Peta digital (RBI)</t>
  </si>
  <si>
    <t>Kamera SLR</t>
  </si>
  <si>
    <t>Desktop PC</t>
  </si>
  <si>
    <t>Fins (Alat selam)</t>
  </si>
  <si>
    <t>Boots (Alat selam)</t>
  </si>
  <si>
    <t>BCD (Alat selam)</t>
  </si>
  <si>
    <t>Regulator (Alat selam)</t>
  </si>
  <si>
    <t>Masker (Alat selam)</t>
  </si>
  <si>
    <t>Wetsuit (Alat selam)</t>
  </si>
  <si>
    <t>Weigh (Alat selam)</t>
  </si>
  <si>
    <t>Snorkel (Alat selam)</t>
  </si>
  <si>
    <t>Belt (Alat selam)</t>
  </si>
  <si>
    <t>Global Positioning System</t>
  </si>
  <si>
    <t>APAR 5 Kg</t>
  </si>
  <si>
    <t xml:space="preserve">Brankas </t>
  </si>
  <si>
    <t>Dispenser</t>
  </si>
  <si>
    <t>EKSKAVASI BENTENG KASTELA</t>
  </si>
  <si>
    <t>Spidol waterproof</t>
  </si>
  <si>
    <t>Alat Selam tanpa tabung</t>
  </si>
  <si>
    <t>Lemari besi</t>
  </si>
  <si>
    <t>Cupboard sliding kaca</t>
  </si>
  <si>
    <t>Terminal PABX</t>
  </si>
  <si>
    <t>Perjalanan Biasa</t>
  </si>
  <si>
    <t>Perjalanan Paket Meeting Luar Kota</t>
  </si>
  <si>
    <t>524119 Belanja Perjalanan Paket Meeting Luar Kota</t>
  </si>
  <si>
    <t>- Uang saku rapat luar kota</t>
  </si>
  <si>
    <t>524113 Belanja Perjalanan Dinas Dalam Kota</t>
  </si>
  <si>
    <t>Perjalanan Dinas Dalam Kota</t>
  </si>
  <si>
    <t>Kursi Tamu</t>
  </si>
  <si>
    <t>Filling cabinet</t>
  </si>
  <si>
    <t>Pemugaran Benteng Bernavelt</t>
  </si>
  <si>
    <t>Rak Besi L</t>
  </si>
  <si>
    <t>109 (TUJUH PULUH)</t>
  </si>
  <si>
    <t>Honor Redaktur</t>
  </si>
  <si>
    <t>Honor Penanggung Jawab</t>
  </si>
  <si>
    <t>Honor Design Grafis &amp; Fotografer</t>
  </si>
  <si>
    <t>Honor Sekretariat</t>
  </si>
  <si>
    <t>Honor Penyunting/Editor</t>
  </si>
  <si>
    <t>Honor Pembuat Artikel</t>
  </si>
  <si>
    <t xml:space="preserve">org </t>
  </si>
  <si>
    <t>terbit</t>
  </si>
  <si>
    <t>Pemeliharaan Kendaraan Bermotor roda 2 (pamong budaya)</t>
  </si>
  <si>
    <t>Biaya taksi Ternate PP</t>
  </si>
  <si>
    <t>Biaya taksi Jakarta PP</t>
  </si>
  <si>
    <t>Biaya taksi Ambon PP</t>
  </si>
  <si>
    <t>Biaya taksi Jayapura</t>
  </si>
  <si>
    <t>Biaya taksi Makassar PP</t>
  </si>
  <si>
    <t>Biaya taksi Manokwari PP</t>
  </si>
  <si>
    <t>Biaya taksi Manado PP</t>
  </si>
  <si>
    <t>Biaya taksi Yogyakarta PP</t>
  </si>
  <si>
    <t xml:space="preserve">Laptop </t>
  </si>
  <si>
    <t>Transport Ternate - Jayapura PP</t>
  </si>
  <si>
    <t>Transport Ternate - Manokwari PP</t>
  </si>
  <si>
    <t>Uang Hotel E IV/ G III</t>
  </si>
  <si>
    <t>Uang Harian diklat</t>
  </si>
  <si>
    <t>Biaya perjalanan dinas nara sumber dari Ternate</t>
  </si>
  <si>
    <t>Biaya perjalanan dinas nara sumber dari Ambon</t>
  </si>
  <si>
    <t>- Transport lokal PP</t>
  </si>
  <si>
    <t>Barang Non Operasional Lainnya</t>
  </si>
  <si>
    <t>Taksi Ternate PP</t>
  </si>
  <si>
    <t>Taksi Ambon PP</t>
  </si>
  <si>
    <t>- Uang Hotel P</t>
  </si>
  <si>
    <t>524119 Belanja Perjalanan Dinas Paket Meeting Luar Kantor</t>
  </si>
  <si>
    <t>Perjalanan Tim Jakarta</t>
  </si>
  <si>
    <t>Transportasi Jakarta - Banda PP</t>
  </si>
  <si>
    <t>524111 Belanja Perjalanan Dinas Biasa</t>
  </si>
  <si>
    <t>Ternate,     Oktober 2013</t>
  </si>
  <si>
    <t>Ternate,      Oktober 2013</t>
  </si>
  <si>
    <t>Ternate,    Oktober 2013</t>
  </si>
  <si>
    <t>Printer Laser Jet</t>
  </si>
  <si>
    <t>Unt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</si>
</sst>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10000"/>
      <name val="Arial"/>
      <family val="2"/>
    </font>
    <font>
      <b/>
      <sz val="10"/>
      <color rgb="FF01000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01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i/>
      <sz val="10"/>
      <name val="Arial"/>
      <family val="2"/>
    </font>
    <font>
      <sz val="12"/>
      <color theme="1"/>
      <name val="Arial Narrow"/>
      <family val="2"/>
    </font>
    <font>
      <sz val="12"/>
      <name val="Arial Narrow"/>
      <family val="2"/>
    </font>
    <font>
      <sz val="10"/>
      <color rgb="FF000000"/>
      <name val="Calibri"/>
      <family val="2"/>
      <scheme val="minor"/>
    </font>
    <font>
      <sz val="10"/>
      <color theme="0" tint="-4.9989318521683403E-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8"/>
      </bottom>
      <diagonal/>
    </border>
    <border>
      <left/>
      <right/>
      <top style="double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3" fillId="0" borderId="0"/>
    <xf numFmtId="41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40">
    <xf numFmtId="0" fontId="0" fillId="0" borderId="0" xfId="0"/>
    <xf numFmtId="0" fontId="2" fillId="0" borderId="0" xfId="2" applyFont="1" applyFill="1" applyAlignment="1"/>
    <xf numFmtId="0" fontId="2" fillId="0" borderId="0" xfId="5" applyFont="1" applyFill="1" applyBorder="1" applyAlignment="1">
      <alignment horizontal="left" vertical="top" wrapText="1"/>
    </xf>
    <xf numFmtId="0" fontId="4" fillId="0" borderId="22" xfId="4" applyFont="1" applyFill="1" applyBorder="1"/>
    <xf numFmtId="0" fontId="2" fillId="0" borderId="22" xfId="2" applyFont="1" applyFill="1" applyBorder="1"/>
    <xf numFmtId="41" fontId="2" fillId="0" borderId="0" xfId="15" applyFont="1" applyFill="1"/>
    <xf numFmtId="41" fontId="4" fillId="0" borderId="21" xfId="10" applyFont="1" applyFill="1" applyBorder="1" applyAlignment="1">
      <alignment horizontal="center"/>
    </xf>
    <xf numFmtId="41" fontId="2" fillId="0" borderId="22" xfId="10" applyFont="1" applyFill="1" applyBorder="1"/>
    <xf numFmtId="41" fontId="4" fillId="0" borderId="21" xfId="10" applyFont="1" applyFill="1" applyBorder="1"/>
    <xf numFmtId="41" fontId="2" fillId="0" borderId="21" xfId="10" applyFont="1" applyFill="1" applyBorder="1"/>
    <xf numFmtId="0" fontId="2" fillId="0" borderId="22" xfId="4" applyFont="1" applyFill="1" applyBorder="1"/>
    <xf numFmtId="49" fontId="2" fillId="0" borderId="22" xfId="15" applyNumberFormat="1" applyFont="1" applyFill="1" applyBorder="1"/>
    <xf numFmtId="41" fontId="5" fillId="0" borderId="0" xfId="3" applyFont="1" applyFill="1"/>
    <xf numFmtId="0" fontId="2" fillId="0" borderId="0" xfId="5" applyFont="1" applyFill="1" applyBorder="1" applyAlignment="1">
      <alignment vertical="top"/>
    </xf>
    <xf numFmtId="41" fontId="2" fillId="0" borderId="0" xfId="3" applyFont="1" applyFill="1" applyBorder="1"/>
    <xf numFmtId="41" fontId="2" fillId="0" borderId="0" xfId="3" applyFont="1" applyFill="1"/>
    <xf numFmtId="0" fontId="2" fillId="0" borderId="0" xfId="2" applyFont="1" applyFill="1"/>
    <xf numFmtId="0" fontId="4" fillId="0" borderId="0" xfId="2" applyFont="1" applyFill="1" applyAlignment="1">
      <alignment horizontal="center"/>
    </xf>
    <xf numFmtId="0" fontId="4" fillId="0" borderId="0" xfId="2" applyNumberFormat="1" applyFont="1" applyFill="1" applyAlignment="1">
      <alignment horizontal="right"/>
    </xf>
    <xf numFmtId="41" fontId="4" fillId="0" borderId="0" xfId="2" applyNumberFormat="1" applyFont="1" applyFill="1" applyAlignment="1">
      <alignment horizontal="center"/>
    </xf>
    <xf numFmtId="41" fontId="2" fillId="0" borderId="0" xfId="3" applyNumberFormat="1" applyFont="1" applyFill="1"/>
    <xf numFmtId="0" fontId="2" fillId="0" borderId="0" xfId="4" applyFont="1" applyFill="1"/>
    <xf numFmtId="0" fontId="4" fillId="0" borderId="0" xfId="2" applyFont="1" applyFill="1"/>
    <xf numFmtId="3" fontId="4" fillId="0" borderId="0" xfId="2" applyNumberFormat="1" applyFont="1" applyFill="1" applyBorder="1" applyAlignment="1"/>
    <xf numFmtId="164" fontId="4" fillId="0" borderId="0" xfId="1" applyNumberFormat="1" applyFont="1" applyFill="1"/>
    <xf numFmtId="41" fontId="4" fillId="0" borderId="0" xfId="2" applyNumberFormat="1" applyFont="1" applyFill="1"/>
    <xf numFmtId="41" fontId="4" fillId="0" borderId="0" xfId="6" applyNumberFormat="1" applyFont="1" applyFill="1"/>
    <xf numFmtId="41" fontId="2" fillId="0" borderId="0" xfId="2" applyNumberFormat="1" applyFont="1" applyFill="1"/>
    <xf numFmtId="41" fontId="2" fillId="0" borderId="0" xfId="6" applyNumberFormat="1" applyFont="1" applyFill="1"/>
    <xf numFmtId="41" fontId="2" fillId="0" borderId="0" xfId="6" applyFont="1" applyFill="1"/>
    <xf numFmtId="3" fontId="2" fillId="0" borderId="0" xfId="2" applyNumberFormat="1" applyFont="1" applyFill="1"/>
    <xf numFmtId="49" fontId="2" fillId="0" borderId="0" xfId="2" applyNumberFormat="1" applyFont="1" applyFill="1"/>
    <xf numFmtId="41" fontId="2" fillId="0" borderId="6" xfId="8" applyFont="1" applyFill="1" applyBorder="1"/>
    <xf numFmtId="0" fontId="2" fillId="0" borderId="9" xfId="7" applyFont="1" applyFill="1" applyBorder="1" applyAlignment="1">
      <alignment horizontal="center" vertical="center" wrapText="1"/>
    </xf>
    <xf numFmtId="41" fontId="2" fillId="0" borderId="0" xfId="6" applyFont="1" applyFill="1" applyBorder="1"/>
    <xf numFmtId="41" fontId="2" fillId="0" borderId="14" xfId="4" quotePrefix="1" applyNumberFormat="1" applyFont="1" applyFill="1" applyBorder="1" applyAlignment="1">
      <alignment horizontal="center"/>
    </xf>
    <xf numFmtId="41" fontId="2" fillId="0" borderId="14" xfId="2" quotePrefix="1" applyNumberFormat="1" applyFont="1" applyFill="1" applyBorder="1" applyAlignment="1">
      <alignment horizontal="center"/>
    </xf>
    <xf numFmtId="41" fontId="4" fillId="0" borderId="18" xfId="6" applyFont="1" applyFill="1" applyBorder="1"/>
    <xf numFmtId="41" fontId="2" fillId="0" borderId="19" xfId="6" applyFont="1" applyFill="1" applyBorder="1"/>
    <xf numFmtId="49" fontId="2" fillId="0" borderId="19" xfId="6" applyNumberFormat="1" applyFont="1" applyFill="1" applyBorder="1"/>
    <xf numFmtId="41" fontId="2" fillId="0" borderId="18" xfId="6" applyNumberFormat="1" applyFont="1" applyFill="1" applyBorder="1"/>
    <xf numFmtId="41" fontId="2" fillId="0" borderId="6" xfId="6" applyFont="1" applyFill="1" applyBorder="1"/>
    <xf numFmtId="0" fontId="2" fillId="0" borderId="7" xfId="2" applyFont="1" applyFill="1" applyBorder="1"/>
    <xf numFmtId="0" fontId="2" fillId="0" borderId="20" xfId="2" applyFont="1" applyFill="1" applyBorder="1"/>
    <xf numFmtId="0" fontId="5" fillId="0" borderId="21" xfId="2" applyFont="1" applyFill="1" applyBorder="1"/>
    <xf numFmtId="0" fontId="7" fillId="0" borderId="22" xfId="2" applyFont="1" applyFill="1" applyBorder="1"/>
    <xf numFmtId="0" fontId="4" fillId="0" borderId="22" xfId="2" applyFont="1" applyFill="1" applyBorder="1"/>
    <xf numFmtId="41" fontId="2" fillId="0" borderId="22" xfId="6" applyFont="1" applyFill="1" applyBorder="1"/>
    <xf numFmtId="49" fontId="2" fillId="0" borderId="22" xfId="6" applyNumberFormat="1" applyFont="1" applyFill="1" applyBorder="1"/>
    <xf numFmtId="41" fontId="2" fillId="0" borderId="21" xfId="6" applyNumberFormat="1" applyFont="1" applyFill="1" applyBorder="1"/>
    <xf numFmtId="0" fontId="2" fillId="0" borderId="21" xfId="2" applyFont="1" applyFill="1" applyBorder="1"/>
    <xf numFmtId="0" fontId="8" fillId="0" borderId="22" xfId="2" applyFont="1" applyFill="1" applyBorder="1"/>
    <xf numFmtId="49" fontId="2" fillId="0" borderId="22" xfId="2" applyNumberFormat="1" applyFont="1" applyFill="1" applyBorder="1"/>
    <xf numFmtId="41" fontId="4" fillId="0" borderId="21" xfId="2" applyNumberFormat="1" applyFont="1" applyFill="1" applyBorder="1"/>
    <xf numFmtId="0" fontId="4" fillId="0" borderId="21" xfId="2" applyFont="1" applyFill="1" applyBorder="1" applyAlignment="1">
      <alignment horizontal="center"/>
    </xf>
    <xf numFmtId="0" fontId="4" fillId="0" borderId="20" xfId="2" applyFont="1" applyFill="1" applyBorder="1"/>
    <xf numFmtId="0" fontId="4" fillId="0" borderId="22" xfId="2" applyFont="1" applyFill="1" applyBorder="1" applyAlignment="1">
      <alignment horizontal="center"/>
    </xf>
    <xf numFmtId="41" fontId="2" fillId="0" borderId="23" xfId="6" applyFont="1" applyFill="1" applyBorder="1"/>
    <xf numFmtId="41" fontId="4" fillId="0" borderId="21" xfId="6" applyNumberFormat="1" applyFont="1" applyFill="1" applyBorder="1"/>
    <xf numFmtId="41" fontId="2" fillId="0" borderId="22" xfId="8" applyFont="1" applyFill="1" applyBorder="1"/>
    <xf numFmtId="49" fontId="2" fillId="0" borderId="22" xfId="8" applyNumberFormat="1" applyFont="1" applyFill="1" applyBorder="1"/>
    <xf numFmtId="49" fontId="2" fillId="0" borderId="22" xfId="8" applyNumberFormat="1" applyFont="1" applyFill="1" applyBorder="1" applyAlignment="1">
      <alignment horizontal="center"/>
    </xf>
    <xf numFmtId="41" fontId="2" fillId="0" borderId="23" xfId="8" applyFont="1" applyFill="1" applyBorder="1"/>
    <xf numFmtId="41" fontId="2" fillId="0" borderId="21" xfId="9" applyNumberFormat="1" applyFont="1" applyFill="1" applyBorder="1"/>
    <xf numFmtId="49" fontId="2" fillId="0" borderId="22" xfId="6" applyNumberFormat="1" applyFont="1" applyFill="1" applyBorder="1" applyAlignment="1">
      <alignment horizontal="center"/>
    </xf>
    <xf numFmtId="41" fontId="2" fillId="0" borderId="21" xfId="2" applyNumberFormat="1" applyFont="1" applyFill="1" applyBorder="1"/>
    <xf numFmtId="0" fontId="4" fillId="0" borderId="21" xfId="11" applyFont="1" applyFill="1" applyBorder="1" applyAlignment="1">
      <alignment horizontal="center"/>
    </xf>
    <xf numFmtId="0" fontId="2" fillId="0" borderId="22" xfId="12" applyFont="1" applyFill="1" applyBorder="1"/>
    <xf numFmtId="41" fontId="2" fillId="0" borderId="22" xfId="13" applyFont="1" applyFill="1" applyBorder="1"/>
    <xf numFmtId="49" fontId="2" fillId="0" borderId="22" xfId="13" applyNumberFormat="1" applyFont="1" applyFill="1" applyBorder="1"/>
    <xf numFmtId="41" fontId="2" fillId="0" borderId="21" xfId="14" applyNumberFormat="1" applyFont="1" applyFill="1" applyBorder="1"/>
    <xf numFmtId="41" fontId="2" fillId="0" borderId="21" xfId="10" applyNumberFormat="1" applyFont="1" applyFill="1" applyBorder="1"/>
    <xf numFmtId="41" fontId="4" fillId="0" borderId="21" xfId="10" applyNumberFormat="1" applyFont="1" applyFill="1" applyBorder="1"/>
    <xf numFmtId="0" fontId="9" fillId="0" borderId="0" xfId="0" applyFont="1"/>
    <xf numFmtId="41" fontId="9" fillId="0" borderId="22" xfId="10" applyFont="1" applyFill="1" applyBorder="1"/>
    <xf numFmtId="49" fontId="2" fillId="0" borderId="22" xfId="2" applyNumberFormat="1" applyFont="1" applyFill="1" applyBorder="1" applyAlignment="1">
      <alignment horizontal="center"/>
    </xf>
    <xf numFmtId="164" fontId="2" fillId="0" borderId="23" xfId="9" applyNumberFormat="1" applyFont="1" applyFill="1" applyBorder="1"/>
    <xf numFmtId="41" fontId="2" fillId="0" borderId="22" xfId="15" applyFont="1" applyFill="1" applyBorder="1"/>
    <xf numFmtId="0" fontId="2" fillId="0" borderId="0" xfId="2" applyFont="1" applyFill="1" applyBorder="1"/>
    <xf numFmtId="0" fontId="2" fillId="0" borderId="21" xfId="2" applyFont="1" applyFill="1" applyBorder="1" applyAlignment="1">
      <alignment horizontal="center"/>
    </xf>
    <xf numFmtId="41" fontId="2" fillId="0" borderId="22" xfId="2" applyNumberFormat="1" applyFont="1" applyFill="1" applyBorder="1"/>
    <xf numFmtId="41" fontId="2" fillId="0" borderId="23" xfId="2" applyNumberFormat="1" applyFont="1" applyFill="1" applyBorder="1"/>
    <xf numFmtId="2" fontId="2" fillId="0" borderId="22" xfId="2" applyNumberFormat="1" applyFont="1" applyFill="1" applyBorder="1"/>
    <xf numFmtId="0" fontId="2" fillId="0" borderId="22" xfId="2" applyFont="1" applyFill="1" applyBorder="1" applyAlignment="1">
      <alignment horizontal="center"/>
    </xf>
    <xf numFmtId="41" fontId="4" fillId="0" borderId="24" xfId="6" applyFont="1" applyFill="1" applyBorder="1" applyAlignment="1">
      <alignment vertical="center"/>
    </xf>
    <xf numFmtId="41" fontId="4" fillId="0" borderId="24" xfId="6" applyNumberFormat="1" applyFont="1" applyFill="1" applyBorder="1" applyAlignment="1">
      <alignment vertical="center"/>
    </xf>
    <xf numFmtId="41" fontId="2" fillId="0" borderId="6" xfId="6" applyFont="1" applyFill="1" applyBorder="1" applyAlignment="1">
      <alignment vertical="center"/>
    </xf>
    <xf numFmtId="41" fontId="2" fillId="0" borderId="0" xfId="6" applyFont="1" applyFill="1" applyAlignment="1">
      <alignment vertical="center"/>
    </xf>
    <xf numFmtId="41" fontId="4" fillId="0" borderId="0" xfId="6" applyFont="1" applyFill="1"/>
    <xf numFmtId="49" fontId="2" fillId="0" borderId="0" xfId="6" applyNumberFormat="1" applyFont="1" applyFill="1"/>
    <xf numFmtId="49" fontId="2" fillId="0" borderId="0" xfId="3" applyNumberFormat="1" applyFont="1" applyFill="1"/>
    <xf numFmtId="0" fontId="2" fillId="0" borderId="22" xfId="10" applyNumberFormat="1" applyFont="1" applyFill="1" applyBorder="1"/>
    <xf numFmtId="0" fontId="2" fillId="0" borderId="22" xfId="10" applyNumberFormat="1" applyFont="1" applyFill="1" applyBorder="1" applyAlignment="1"/>
    <xf numFmtId="0" fontId="2" fillId="0" borderId="14" xfId="4" quotePrefix="1" applyNumberFormat="1" applyFont="1" applyFill="1" applyBorder="1" applyAlignment="1">
      <alignment horizontal="center"/>
    </xf>
    <xf numFmtId="41" fontId="2" fillId="0" borderId="6" xfId="10" applyNumberFormat="1" applyFont="1" applyFill="1" applyBorder="1"/>
    <xf numFmtId="41" fontId="9" fillId="0" borderId="6" xfId="10" applyFont="1" applyBorder="1"/>
    <xf numFmtId="164" fontId="2" fillId="0" borderId="21" xfId="1" applyNumberFormat="1" applyFont="1" applyFill="1" applyBorder="1"/>
    <xf numFmtId="0" fontId="4" fillId="0" borderId="20" xfId="2" applyFont="1" applyFill="1" applyBorder="1" applyAlignment="1">
      <alignment horizontal="left"/>
    </xf>
    <xf numFmtId="0" fontId="2" fillId="0" borderId="0" xfId="2" applyFont="1" applyFill="1" applyBorder="1" applyAlignment="1"/>
    <xf numFmtId="0" fontId="8" fillId="0" borderId="20" xfId="2" applyFont="1" applyFill="1" applyBorder="1"/>
    <xf numFmtId="0" fontId="2" fillId="0" borderId="27" xfId="0" quotePrefix="1" applyFont="1" applyBorder="1" applyAlignment="1">
      <alignment horizontal="left" indent="1"/>
    </xf>
    <xf numFmtId="0" fontId="12" fillId="0" borderId="22" xfId="0" quotePrefix="1" applyFont="1" applyBorder="1" applyAlignment="1">
      <alignment horizontal="left" indent="1"/>
    </xf>
    <xf numFmtId="0" fontId="2" fillId="0" borderId="20" xfId="2" quotePrefix="1" applyFont="1" applyFill="1" applyBorder="1" applyAlignment="1">
      <alignment horizontal="left" indent="1"/>
    </xf>
    <xf numFmtId="0" fontId="2" fillId="0" borderId="20" xfId="2" applyFont="1" applyFill="1" applyBorder="1" applyAlignment="1">
      <alignment horizontal="left" indent="1"/>
    </xf>
    <xf numFmtId="0" fontId="13" fillId="0" borderId="22" xfId="0" applyFont="1" applyBorder="1" applyAlignment="1"/>
    <xf numFmtId="0" fontId="12" fillId="0" borderId="22" xfId="0" quotePrefix="1" applyFont="1" applyBorder="1" applyAlignment="1"/>
    <xf numFmtId="0" fontId="13" fillId="0" borderId="22" xfId="0" applyFont="1" applyBorder="1" applyAlignment="1">
      <alignment horizontal="left"/>
    </xf>
    <xf numFmtId="0" fontId="4" fillId="0" borderId="7" xfId="2" applyFont="1" applyFill="1" applyBorder="1" applyAlignment="1">
      <alignment horizontal="center"/>
    </xf>
    <xf numFmtId="41" fontId="2" fillId="0" borderId="0" xfId="10" applyNumberFormat="1" applyFont="1" applyFill="1" applyBorder="1"/>
    <xf numFmtId="41" fontId="2" fillId="0" borderId="0" xfId="6" applyNumberFormat="1" applyFont="1" applyFill="1" applyBorder="1"/>
    <xf numFmtId="0" fontId="2" fillId="0" borderId="27" xfId="0" applyFont="1" applyBorder="1" applyAlignment="1">
      <alignment horizontal="left"/>
    </xf>
    <xf numFmtId="0" fontId="2" fillId="0" borderId="22" xfId="2" quotePrefix="1" applyFont="1" applyFill="1" applyBorder="1" applyAlignment="1">
      <alignment horizontal="left" indent="2"/>
    </xf>
    <xf numFmtId="0" fontId="4" fillId="0" borderId="0" xfId="2" applyFont="1" applyFill="1" applyAlignment="1">
      <alignment horizontal="center"/>
    </xf>
    <xf numFmtId="0" fontId="4" fillId="0" borderId="22" xfId="10" applyNumberFormat="1" applyFont="1" applyFill="1" applyBorder="1"/>
    <xf numFmtId="49" fontId="2" fillId="0" borderId="22" xfId="6" applyNumberFormat="1" applyFont="1" applyFill="1" applyBorder="1" applyAlignment="1">
      <alignment horizontal="right"/>
    </xf>
    <xf numFmtId="0" fontId="2" fillId="0" borderId="22" xfId="6" applyNumberFormat="1" applyFont="1" applyFill="1" applyBorder="1"/>
    <xf numFmtId="49" fontId="2" fillId="0" borderId="22" xfId="6" applyNumberFormat="1" applyFont="1" applyFill="1" applyBorder="1" applyAlignment="1">
      <alignment horizontal="left"/>
    </xf>
    <xf numFmtId="41" fontId="15" fillId="0" borderId="23" xfId="1" applyNumberFormat="1" applyFont="1" applyFill="1" applyBorder="1" applyAlignment="1">
      <alignment horizontal="right" vertical="center"/>
    </xf>
    <xf numFmtId="0" fontId="15" fillId="0" borderId="22" xfId="0" applyFont="1" applyFill="1" applyBorder="1" applyAlignment="1">
      <alignment horizontal="left" vertical="center"/>
    </xf>
    <xf numFmtId="0" fontId="16" fillId="0" borderId="22" xfId="0" applyFont="1" applyFill="1" applyBorder="1" applyAlignment="1">
      <alignment horizontal="left" vertical="center"/>
    </xf>
    <xf numFmtId="0" fontId="15" fillId="0" borderId="22" xfId="0" applyFont="1" applyFill="1" applyBorder="1" applyAlignment="1">
      <alignment horizontal="left" vertical="center" indent="2"/>
    </xf>
    <xf numFmtId="0" fontId="2" fillId="0" borderId="22" xfId="2" applyFont="1" applyFill="1" applyBorder="1" applyAlignment="1">
      <alignment horizontal="left" indent="2"/>
    </xf>
    <xf numFmtId="0" fontId="4" fillId="0" borderId="22" xfId="2" applyFont="1" applyFill="1" applyBorder="1" applyAlignment="1">
      <alignment horizontal="left"/>
    </xf>
    <xf numFmtId="0" fontId="4" fillId="0" borderId="21" xfId="2" applyFont="1" applyFill="1" applyBorder="1"/>
    <xf numFmtId="0" fontId="14" fillId="0" borderId="0" xfId="0" applyFont="1"/>
    <xf numFmtId="41" fontId="14" fillId="0" borderId="22" xfId="10" applyFont="1" applyFill="1" applyBorder="1"/>
    <xf numFmtId="0" fontId="14" fillId="0" borderId="22" xfId="0" applyFont="1" applyBorder="1" applyAlignment="1">
      <alignment horizontal="left" indent="1"/>
    </xf>
    <xf numFmtId="0" fontId="12" fillId="0" borderId="21" xfId="0" quotePrefix="1" applyFont="1" applyBorder="1" applyAlignment="1">
      <alignment horizontal="left"/>
    </xf>
    <xf numFmtId="0" fontId="15" fillId="0" borderId="20" xfId="0" applyFont="1" applyBorder="1" applyAlignment="1">
      <alignment horizontal="left" indent="3"/>
    </xf>
    <xf numFmtId="0" fontId="12" fillId="0" borderId="20" xfId="0" quotePrefix="1" applyFont="1" applyBorder="1" applyAlignment="1">
      <alignment horizontal="left" indent="1"/>
    </xf>
    <xf numFmtId="0" fontId="12" fillId="0" borderId="20" xfId="0" quotePrefix="1" applyFont="1" applyBorder="1" applyAlignment="1">
      <alignment horizontal="left"/>
    </xf>
    <xf numFmtId="41" fontId="4" fillId="0" borderId="0" xfId="3" applyFont="1" applyFill="1"/>
    <xf numFmtId="0" fontId="14" fillId="0" borderId="22" xfId="0" applyFont="1" applyBorder="1" applyAlignment="1"/>
    <xf numFmtId="0" fontId="2" fillId="0" borderId="22" xfId="0" applyFont="1" applyBorder="1" applyAlignment="1">
      <alignment horizontal="left"/>
    </xf>
    <xf numFmtId="0" fontId="2" fillId="0" borderId="22" xfId="0" applyFont="1" applyBorder="1" applyAlignment="1">
      <alignment horizontal="right"/>
    </xf>
    <xf numFmtId="0" fontId="2" fillId="0" borderId="22" xfId="0" applyFont="1" applyBorder="1" applyAlignment="1">
      <alignment horizontal="center"/>
    </xf>
    <xf numFmtId="0" fontId="2" fillId="0" borderId="20" xfId="0" quotePrefix="1" applyFont="1" applyBorder="1" applyAlignment="1">
      <alignment horizontal="left" indent="1"/>
    </xf>
    <xf numFmtId="0" fontId="2" fillId="0" borderId="20" xfId="0" applyFont="1" applyBorder="1" applyAlignment="1">
      <alignment horizontal="left" vertical="top" indent="1"/>
    </xf>
    <xf numFmtId="0" fontId="2" fillId="0" borderId="20" xfId="2" applyFont="1" applyFill="1" applyBorder="1" applyAlignment="1">
      <alignment horizontal="center"/>
    </xf>
    <xf numFmtId="1" fontId="17" fillId="0" borderId="21" xfId="0" applyNumberFormat="1" applyFont="1" applyBorder="1" applyAlignment="1">
      <alignment horizontal="center"/>
    </xf>
    <xf numFmtId="0" fontId="17" fillId="0" borderId="2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1" fontId="17" fillId="0" borderId="22" xfId="0" applyNumberFormat="1" applyFont="1" applyBorder="1" applyAlignment="1">
      <alignment horizontal="center"/>
    </xf>
    <xf numFmtId="1" fontId="9" fillId="0" borderId="22" xfId="0" applyNumberFormat="1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14" fillId="0" borderId="22" xfId="0" quotePrefix="1" applyFont="1" applyBorder="1" applyAlignment="1">
      <alignment horizontal="left" indent="1"/>
    </xf>
    <xf numFmtId="0" fontId="13" fillId="0" borderId="22" xfId="0" applyFont="1" applyBorder="1" applyAlignment="1">
      <alignment vertical="center"/>
    </xf>
    <xf numFmtId="0" fontId="12" fillId="0" borderId="22" xfId="0" quotePrefix="1" applyFont="1" applyBorder="1" applyAlignment="1">
      <alignment horizontal="left" indent="2"/>
    </xf>
    <xf numFmtId="0" fontId="12" fillId="2" borderId="22" xfId="0" quotePrefix="1" applyFont="1" applyFill="1" applyBorder="1" applyAlignment="1">
      <alignment horizontal="left" indent="2"/>
    </xf>
    <xf numFmtId="0" fontId="12" fillId="2" borderId="21" xfId="0" quotePrefix="1" applyFont="1" applyFill="1" applyBorder="1" applyAlignment="1">
      <alignment horizontal="left" indent="2"/>
    </xf>
    <xf numFmtId="0" fontId="20" fillId="0" borderId="21" xfId="2" applyFont="1" applyFill="1" applyBorder="1" applyAlignment="1">
      <alignment horizontal="center"/>
    </xf>
    <xf numFmtId="0" fontId="21" fillId="0" borderId="22" xfId="2" applyFont="1" applyFill="1" applyBorder="1"/>
    <xf numFmtId="41" fontId="21" fillId="0" borderId="22" xfId="6" applyFont="1" applyFill="1" applyBorder="1"/>
    <xf numFmtId="164" fontId="22" fillId="0" borderId="22" xfId="1" applyNumberFormat="1" applyFont="1" applyFill="1" applyBorder="1"/>
    <xf numFmtId="0" fontId="14" fillId="0" borderId="20" xfId="2" applyFont="1" applyFill="1" applyBorder="1"/>
    <xf numFmtId="0" fontId="14" fillId="0" borderId="22" xfId="2" applyFont="1" applyFill="1" applyBorder="1"/>
    <xf numFmtId="49" fontId="14" fillId="0" borderId="22" xfId="2" applyNumberFormat="1" applyFont="1" applyFill="1" applyBorder="1"/>
    <xf numFmtId="41" fontId="14" fillId="0" borderId="22" xfId="6" applyFont="1" applyFill="1" applyBorder="1"/>
    <xf numFmtId="49" fontId="14" fillId="0" borderId="22" xfId="6" applyNumberFormat="1" applyFont="1" applyFill="1" applyBorder="1"/>
    <xf numFmtId="49" fontId="14" fillId="0" borderId="22" xfId="6" applyNumberFormat="1" applyFont="1" applyFill="1" applyBorder="1" applyAlignment="1">
      <alignment horizontal="center"/>
    </xf>
    <xf numFmtId="0" fontId="14" fillId="0" borderId="22" xfId="10" applyNumberFormat="1" applyFont="1" applyFill="1" applyBorder="1" applyAlignment="1"/>
    <xf numFmtId="41" fontId="14" fillId="0" borderId="21" xfId="2" applyNumberFormat="1" applyFont="1" applyFill="1" applyBorder="1"/>
    <xf numFmtId="0" fontId="14" fillId="0" borderId="0" xfId="2" applyFont="1" applyFill="1"/>
    <xf numFmtId="0" fontId="19" fillId="0" borderId="21" xfId="2" applyFont="1" applyFill="1" applyBorder="1" applyAlignment="1">
      <alignment horizontal="center"/>
    </xf>
    <xf numFmtId="0" fontId="19" fillId="0" borderId="20" xfId="2" applyFont="1" applyFill="1" applyBorder="1"/>
    <xf numFmtId="41" fontId="14" fillId="0" borderId="21" xfId="9" applyNumberFormat="1" applyFont="1" applyFill="1" applyBorder="1"/>
    <xf numFmtId="41" fontId="14" fillId="0" borderId="6" xfId="6" applyFont="1" applyFill="1" applyBorder="1"/>
    <xf numFmtId="41" fontId="14" fillId="0" borderId="0" xfId="6" applyFont="1" applyFill="1"/>
    <xf numFmtId="41" fontId="14" fillId="0" borderId="23" xfId="6" applyFont="1" applyFill="1" applyBorder="1"/>
    <xf numFmtId="41" fontId="2" fillId="0" borderId="21" xfId="6" applyFont="1" applyFill="1" applyBorder="1"/>
    <xf numFmtId="41" fontId="2" fillId="0" borderId="0" xfId="8" applyFont="1" applyFill="1" applyBorder="1"/>
    <xf numFmtId="41" fontId="14" fillId="0" borderId="0" xfId="6" applyFont="1" applyFill="1" applyBorder="1"/>
    <xf numFmtId="0" fontId="14" fillId="0" borderId="0" xfId="2" applyFont="1" applyFill="1" applyBorder="1"/>
    <xf numFmtId="41" fontId="2" fillId="0" borderId="0" xfId="2" applyNumberFormat="1" applyFont="1" applyFill="1" applyBorder="1"/>
    <xf numFmtId="41" fontId="2" fillId="0" borderId="0" xfId="6" applyFont="1" applyFill="1" applyBorder="1" applyAlignment="1">
      <alignment vertical="center"/>
    </xf>
    <xf numFmtId="41" fontId="14" fillId="0" borderId="21" xfId="6" applyNumberFormat="1" applyFont="1" applyFill="1" applyBorder="1"/>
    <xf numFmtId="41" fontId="14" fillId="0" borderId="21" xfId="10" applyFont="1" applyFill="1" applyBorder="1"/>
    <xf numFmtId="41" fontId="22" fillId="0" borderId="23" xfId="6" applyFont="1" applyFill="1" applyBorder="1"/>
    <xf numFmtId="41" fontId="2" fillId="0" borderId="23" xfId="1" applyNumberFormat="1" applyFont="1" applyFill="1" applyBorder="1" applyAlignment="1">
      <alignment horizontal="right" vertical="center"/>
    </xf>
    <xf numFmtId="0" fontId="2" fillId="0" borderId="10" xfId="2" applyFont="1" applyFill="1" applyBorder="1" applyAlignment="1">
      <alignment horizontal="center" vertical="center" wrapText="1"/>
    </xf>
    <xf numFmtId="0" fontId="22" fillId="0" borderId="22" xfId="2" applyFont="1" applyFill="1" applyBorder="1"/>
    <xf numFmtId="41" fontId="22" fillId="0" borderId="22" xfId="6" applyFont="1" applyFill="1" applyBorder="1"/>
    <xf numFmtId="41" fontId="22" fillId="0" borderId="22" xfId="2" applyNumberFormat="1" applyFont="1" applyFill="1" applyBorder="1"/>
    <xf numFmtId="41" fontId="22" fillId="0" borderId="22" xfId="15" applyFont="1" applyFill="1" applyBorder="1"/>
    <xf numFmtId="41" fontId="4" fillId="0" borderId="0" xfId="6" applyFont="1" applyFill="1" applyBorder="1" applyAlignment="1">
      <alignment vertical="center"/>
    </xf>
    <xf numFmtId="41" fontId="4" fillId="0" borderId="0" xfId="6" applyFont="1" applyFill="1" applyBorder="1" applyAlignment="1">
      <alignment horizontal="center" vertical="center"/>
    </xf>
    <xf numFmtId="41" fontId="4" fillId="0" borderId="0" xfId="6" applyNumberFormat="1" applyFont="1" applyFill="1" applyBorder="1" applyAlignment="1">
      <alignment vertical="center"/>
    </xf>
    <xf numFmtId="0" fontId="2" fillId="0" borderId="14" xfId="2" quotePrefix="1" applyNumberFormat="1" applyFont="1" applyFill="1" applyBorder="1" applyAlignment="1">
      <alignment horizontal="center"/>
    </xf>
    <xf numFmtId="0" fontId="2" fillId="0" borderId="6" xfId="8" applyNumberFormat="1" applyFont="1" applyFill="1" applyBorder="1" applyAlignment="1">
      <alignment horizontal="center"/>
    </xf>
    <xf numFmtId="0" fontId="2" fillId="0" borderId="0" xfId="2" applyNumberFormat="1" applyFont="1" applyFill="1" applyAlignment="1">
      <alignment horizontal="center"/>
    </xf>
    <xf numFmtId="41" fontId="2" fillId="0" borderId="3" xfId="6" applyNumberFormat="1" applyFont="1" applyFill="1" applyBorder="1"/>
    <xf numFmtId="0" fontId="23" fillId="0" borderId="0" xfId="2" applyFont="1" applyFill="1" applyAlignment="1">
      <alignment horizontal="center"/>
    </xf>
    <xf numFmtId="0" fontId="22" fillId="0" borderId="0" xfId="2" applyFont="1" applyFill="1" applyAlignment="1"/>
    <xf numFmtId="0" fontId="22" fillId="0" borderId="0" xfId="5" applyFont="1" applyFill="1" applyBorder="1" applyAlignment="1">
      <alignment vertical="top"/>
    </xf>
    <xf numFmtId="0" fontId="22" fillId="0" borderId="0" xfId="2" applyFont="1" applyFill="1"/>
    <xf numFmtId="41" fontId="22" fillId="0" borderId="19" xfId="6" applyFont="1" applyFill="1" applyBorder="1"/>
    <xf numFmtId="0" fontId="22" fillId="0" borderId="22" xfId="12" applyFont="1" applyFill="1" applyBorder="1"/>
    <xf numFmtId="41" fontId="22" fillId="0" borderId="22" xfId="10" applyFont="1" applyFill="1" applyBorder="1"/>
    <xf numFmtId="41" fontId="22" fillId="0" borderId="0" xfId="6" applyFont="1" applyFill="1"/>
    <xf numFmtId="49" fontId="22" fillId="0" borderId="0" xfId="3" applyNumberFormat="1" applyFont="1" applyFill="1"/>
    <xf numFmtId="41" fontId="22" fillId="0" borderId="0" xfId="3" applyFont="1" applyFill="1"/>
    <xf numFmtId="0" fontId="6" fillId="0" borderId="30" xfId="7" applyFont="1" applyFill="1" applyBorder="1" applyAlignment="1">
      <alignment horizontal="center" vertical="center" wrapText="1"/>
    </xf>
    <xf numFmtId="0" fontId="2" fillId="0" borderId="14" xfId="7" applyFont="1" applyFill="1" applyBorder="1" applyAlignment="1">
      <alignment horizontal="center" vertical="center" wrapText="1"/>
    </xf>
    <xf numFmtId="0" fontId="19" fillId="0" borderId="20" xfId="2" applyFont="1" applyFill="1" applyBorder="1" applyAlignment="1">
      <alignment horizontal="left"/>
    </xf>
    <xf numFmtId="3" fontId="2" fillId="0" borderId="0" xfId="2" applyNumberFormat="1" applyFont="1" applyFill="1" applyAlignment="1">
      <alignment horizontal="left"/>
    </xf>
    <xf numFmtId="41" fontId="21" fillId="0" borderId="22" xfId="10" applyFont="1" applyFill="1" applyBorder="1"/>
    <xf numFmtId="3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41" fontId="0" fillId="0" borderId="0" xfId="0" applyNumberFormat="1"/>
    <xf numFmtId="164" fontId="2" fillId="0" borderId="22" xfId="1" applyNumberFormat="1" applyFont="1" applyBorder="1" applyAlignment="1">
      <alignment horizontal="right"/>
    </xf>
    <xf numFmtId="43" fontId="2" fillId="0" borderId="23" xfId="0" applyNumberFormat="1" applyFont="1" applyFill="1" applyBorder="1" applyAlignment="1">
      <alignment horizontal="left" vertical="center" wrapText="1"/>
    </xf>
    <xf numFmtId="41" fontId="14" fillId="0" borderId="0" xfId="3" applyFont="1" applyFill="1" applyBorder="1"/>
    <xf numFmtId="0" fontId="19" fillId="0" borderId="0" xfId="2" applyFont="1" applyFill="1" applyAlignment="1">
      <alignment horizontal="center"/>
    </xf>
    <xf numFmtId="0" fontId="19" fillId="0" borderId="0" xfId="2" applyNumberFormat="1" applyFont="1" applyFill="1" applyAlignment="1">
      <alignment horizontal="right"/>
    </xf>
    <xf numFmtId="41" fontId="19" fillId="0" borderId="0" xfId="2" applyNumberFormat="1" applyFont="1" applyFill="1" applyAlignment="1">
      <alignment horizontal="center"/>
    </xf>
    <xf numFmtId="41" fontId="14" fillId="0" borderId="0" xfId="3" applyNumberFormat="1" applyFont="1" applyFill="1"/>
    <xf numFmtId="0" fontId="14" fillId="0" borderId="0" xfId="4" applyFont="1" applyFill="1"/>
    <xf numFmtId="0" fontId="19" fillId="0" borderId="0" xfId="2" applyFont="1" applyFill="1"/>
    <xf numFmtId="0" fontId="14" fillId="0" borderId="0" xfId="2" applyFont="1" applyFill="1" applyAlignment="1"/>
    <xf numFmtId="41" fontId="14" fillId="0" borderId="0" xfId="3" applyFont="1" applyFill="1"/>
    <xf numFmtId="0" fontId="14" fillId="0" borderId="0" xfId="2" applyFont="1" applyFill="1" applyBorder="1" applyAlignment="1"/>
    <xf numFmtId="0" fontId="14" fillId="0" borderId="0" xfId="5" applyFont="1" applyFill="1" applyBorder="1" applyAlignment="1">
      <alignment vertical="top"/>
    </xf>
    <xf numFmtId="0" fontId="14" fillId="0" borderId="0" xfId="5" applyFont="1" applyFill="1" applyBorder="1" applyAlignment="1">
      <alignment horizontal="left" vertical="top" wrapText="1"/>
    </xf>
    <xf numFmtId="3" fontId="14" fillId="0" borderId="0" xfId="2" applyNumberFormat="1" applyFont="1" applyFill="1" applyAlignment="1">
      <alignment horizontal="left"/>
    </xf>
    <xf numFmtId="3" fontId="19" fillId="0" borderId="0" xfId="2" applyNumberFormat="1" applyFont="1" applyFill="1" applyBorder="1" applyAlignment="1"/>
    <xf numFmtId="164" fontId="19" fillId="0" borderId="0" xfId="1" applyNumberFormat="1" applyFont="1" applyFill="1"/>
    <xf numFmtId="41" fontId="19" fillId="0" borderId="0" xfId="2" applyNumberFormat="1" applyFont="1" applyFill="1"/>
    <xf numFmtId="41" fontId="19" fillId="0" borderId="0" xfId="6" applyNumberFormat="1" applyFont="1" applyFill="1"/>
    <xf numFmtId="41" fontId="14" fillId="0" borderId="0" xfId="2" applyNumberFormat="1" applyFont="1" applyFill="1"/>
    <xf numFmtId="41" fontId="14" fillId="0" borderId="0" xfId="6" applyNumberFormat="1" applyFont="1" applyFill="1"/>
    <xf numFmtId="3" fontId="14" fillId="0" borderId="0" xfId="2" applyNumberFormat="1" applyFont="1" applyFill="1"/>
    <xf numFmtId="49" fontId="14" fillId="0" borderId="0" xfId="2" applyNumberFormat="1" applyFont="1" applyFill="1"/>
    <xf numFmtId="41" fontId="14" fillId="0" borderId="6" xfId="8" applyFont="1" applyFill="1" applyBorder="1"/>
    <xf numFmtId="0" fontId="14" fillId="0" borderId="9" xfId="7" applyFont="1" applyFill="1" applyBorder="1" applyAlignment="1">
      <alignment horizontal="center" vertical="center" wrapText="1"/>
    </xf>
    <xf numFmtId="0" fontId="14" fillId="0" borderId="14" xfId="4" quotePrefix="1" applyNumberFormat="1" applyFont="1" applyFill="1" applyBorder="1" applyAlignment="1">
      <alignment horizontal="center"/>
    </xf>
    <xf numFmtId="41" fontId="14" fillId="0" borderId="14" xfId="2" quotePrefix="1" applyNumberFormat="1" applyFont="1" applyFill="1" applyBorder="1" applyAlignment="1">
      <alignment horizontal="center"/>
    </xf>
    <xf numFmtId="41" fontId="19" fillId="0" borderId="18" xfId="6" applyFont="1" applyFill="1" applyBorder="1"/>
    <xf numFmtId="41" fontId="14" fillId="0" borderId="19" xfId="6" applyFont="1" applyFill="1" applyBorder="1"/>
    <xf numFmtId="49" fontId="14" fillId="0" borderId="19" xfId="6" applyNumberFormat="1" applyFont="1" applyFill="1" applyBorder="1"/>
    <xf numFmtId="41" fontId="14" fillId="0" borderId="18" xfId="6" applyNumberFormat="1" applyFont="1" applyFill="1" applyBorder="1"/>
    <xf numFmtId="0" fontId="14" fillId="0" borderId="21" xfId="2" applyFont="1" applyFill="1" applyBorder="1"/>
    <xf numFmtId="0" fontId="19" fillId="0" borderId="7" xfId="2" applyFont="1" applyFill="1" applyBorder="1" applyAlignment="1">
      <alignment horizontal="center"/>
    </xf>
    <xf numFmtId="0" fontId="19" fillId="0" borderId="22" xfId="2" applyFont="1" applyFill="1" applyBorder="1"/>
    <xf numFmtId="0" fontId="24" fillId="0" borderId="21" xfId="2" applyFont="1" applyFill="1" applyBorder="1"/>
    <xf numFmtId="0" fontId="19" fillId="0" borderId="22" xfId="0" applyFont="1" applyBorder="1" applyAlignment="1"/>
    <xf numFmtId="1" fontId="24" fillId="0" borderId="21" xfId="0" applyNumberFormat="1" applyFont="1" applyBorder="1" applyAlignment="1">
      <alignment horizontal="center"/>
    </xf>
    <xf numFmtId="1" fontId="24" fillId="0" borderId="22" xfId="0" applyNumberFormat="1" applyFont="1" applyBorder="1" applyAlignment="1">
      <alignment horizontal="center"/>
    </xf>
    <xf numFmtId="41" fontId="14" fillId="0" borderId="23" xfId="1" applyNumberFormat="1" applyFont="1" applyFill="1" applyBorder="1" applyAlignment="1">
      <alignment horizontal="right" vertical="center"/>
    </xf>
    <xf numFmtId="0" fontId="14" fillId="0" borderId="22" xfId="12" applyFont="1" applyFill="1" applyBorder="1"/>
    <xf numFmtId="49" fontId="14" fillId="0" borderId="22" xfId="6" applyNumberFormat="1" applyFont="1" applyFill="1" applyBorder="1" applyAlignment="1">
      <alignment horizontal="right"/>
    </xf>
    <xf numFmtId="0" fontId="19" fillId="0" borderId="21" xfId="11" applyFont="1" applyFill="1" applyBorder="1" applyAlignment="1">
      <alignment horizontal="center"/>
    </xf>
    <xf numFmtId="41" fontId="14" fillId="0" borderId="21" xfId="14" applyNumberFormat="1" applyFont="1" applyFill="1" applyBorder="1"/>
    <xf numFmtId="41" fontId="19" fillId="0" borderId="6" xfId="10" applyNumberFormat="1" applyFont="1" applyFill="1" applyBorder="1"/>
    <xf numFmtId="41" fontId="14" fillId="0" borderId="0" xfId="6" applyNumberFormat="1" applyFont="1" applyFill="1" applyBorder="1"/>
    <xf numFmtId="41" fontId="14" fillId="0" borderId="0" xfId="10" applyNumberFormat="1" applyFont="1" applyFill="1" applyBorder="1"/>
    <xf numFmtId="41" fontId="19" fillId="0" borderId="21" xfId="10" applyFont="1" applyFill="1" applyBorder="1" applyAlignment="1">
      <alignment horizontal="center"/>
    </xf>
    <xf numFmtId="0" fontId="19" fillId="0" borderId="22" xfId="0" applyFont="1" applyBorder="1" applyAlignment="1">
      <alignment vertical="center"/>
    </xf>
    <xf numFmtId="0" fontId="24" fillId="0" borderId="21" xfId="0" applyFont="1" applyBorder="1" applyAlignment="1">
      <alignment horizontal="center" vertical="center"/>
    </xf>
    <xf numFmtId="41" fontId="14" fillId="0" borderId="0" xfId="15" applyFont="1" applyFill="1"/>
    <xf numFmtId="0" fontId="24" fillId="0" borderId="20" xfId="0" applyFont="1" applyBorder="1" applyAlignment="1">
      <alignment horizontal="center"/>
    </xf>
    <xf numFmtId="0" fontId="14" fillId="0" borderId="22" xfId="4" applyFont="1" applyFill="1" applyBorder="1"/>
    <xf numFmtId="41" fontId="14" fillId="0" borderId="22" xfId="15" applyFont="1" applyFill="1" applyBorder="1"/>
    <xf numFmtId="49" fontId="14" fillId="0" borderId="22" xfId="15" applyNumberFormat="1" applyFont="1" applyFill="1" applyBorder="1"/>
    <xf numFmtId="41" fontId="19" fillId="0" borderId="24" xfId="6" applyFont="1" applyFill="1" applyBorder="1" applyAlignment="1">
      <alignment vertical="center"/>
    </xf>
    <xf numFmtId="41" fontId="19" fillId="0" borderId="24" xfId="6" applyNumberFormat="1" applyFont="1" applyFill="1" applyBorder="1" applyAlignment="1">
      <alignment vertical="center"/>
    </xf>
    <xf numFmtId="41" fontId="14" fillId="0" borderId="6" xfId="6" applyFont="1" applyFill="1" applyBorder="1" applyAlignment="1">
      <alignment vertical="center"/>
    </xf>
    <xf numFmtId="41" fontId="14" fillId="0" borderId="0" xfId="6" applyFont="1" applyFill="1" applyAlignment="1">
      <alignment vertical="center"/>
    </xf>
    <xf numFmtId="41" fontId="19" fillId="0" borderId="0" xfId="6" applyFont="1" applyFill="1"/>
    <xf numFmtId="49" fontId="14" fillId="0" borderId="0" xfId="6" applyNumberFormat="1" applyFont="1" applyFill="1"/>
    <xf numFmtId="41" fontId="24" fillId="0" borderId="0" xfId="3" applyFont="1" applyFill="1"/>
    <xf numFmtId="49" fontId="14" fillId="0" borderId="0" xfId="3" applyNumberFormat="1" applyFont="1" applyFill="1"/>
    <xf numFmtId="164" fontId="23" fillId="0" borderId="0" xfId="1" applyNumberFormat="1" applyFont="1" applyFill="1" applyAlignment="1">
      <alignment horizontal="center"/>
    </xf>
    <xf numFmtId="164" fontId="22" fillId="0" borderId="0" xfId="1" applyNumberFormat="1" applyFont="1" applyFill="1" applyAlignment="1"/>
    <xf numFmtId="164" fontId="22" fillId="0" borderId="0" xfId="1" applyNumberFormat="1" applyFont="1" applyFill="1" applyBorder="1" applyAlignment="1">
      <alignment vertical="top"/>
    </xf>
    <xf numFmtId="164" fontId="22" fillId="0" borderId="0" xfId="1" applyNumberFormat="1" applyFont="1" applyFill="1"/>
    <xf numFmtId="164" fontId="22" fillId="0" borderId="19" xfId="1" applyNumberFormat="1" applyFont="1" applyFill="1" applyBorder="1"/>
    <xf numFmtId="49" fontId="22" fillId="0" borderId="0" xfId="6" applyNumberFormat="1" applyFont="1" applyFill="1"/>
    <xf numFmtId="0" fontId="23" fillId="0" borderId="0" xfId="2" applyNumberFormat="1" applyFont="1" applyFill="1" applyAlignment="1">
      <alignment horizontal="right"/>
    </xf>
    <xf numFmtId="3" fontId="23" fillId="0" borderId="0" xfId="2" applyNumberFormat="1" applyFont="1" applyFill="1" applyBorder="1" applyAlignment="1"/>
    <xf numFmtId="0" fontId="23" fillId="0" borderId="22" xfId="2" applyFont="1" applyFill="1" applyBorder="1"/>
    <xf numFmtId="0" fontId="22" fillId="0" borderId="22" xfId="4" applyFont="1" applyFill="1" applyBorder="1"/>
    <xf numFmtId="0" fontId="21" fillId="0" borderId="22" xfId="12" applyFont="1" applyFill="1" applyBorder="1"/>
    <xf numFmtId="41" fontId="2" fillId="0" borderId="20" xfId="6" applyFont="1" applyFill="1" applyBorder="1"/>
    <xf numFmtId="0" fontId="2" fillId="0" borderId="22" xfId="2" applyFont="1" applyFill="1" applyBorder="1" applyAlignment="1">
      <alignment horizontal="right"/>
    </xf>
    <xf numFmtId="0" fontId="2" fillId="0" borderId="22" xfId="12" applyFont="1" applyFill="1" applyBorder="1" applyAlignment="1">
      <alignment horizontal="right"/>
    </xf>
    <xf numFmtId="0" fontId="2" fillId="0" borderId="22" xfId="2" quotePrefix="1" applyFont="1" applyFill="1" applyBorder="1" applyAlignment="1">
      <alignment horizontal="left" indent="1"/>
    </xf>
    <xf numFmtId="0" fontId="15" fillId="0" borderId="22" xfId="0" applyFont="1" applyFill="1" applyBorder="1" applyAlignment="1">
      <alignment horizontal="left" vertical="center" wrapText="1" indent="3"/>
    </xf>
    <xf numFmtId="0" fontId="25" fillId="0" borderId="22" xfId="0" applyFont="1" applyBorder="1" applyAlignment="1">
      <alignment horizontal="left" indent="3"/>
    </xf>
    <xf numFmtId="0" fontId="26" fillId="0" borderId="22" xfId="0" applyFont="1" applyBorder="1" applyAlignment="1">
      <alignment horizontal="left" vertical="top" indent="3"/>
    </xf>
    <xf numFmtId="41" fontId="25" fillId="0" borderId="22" xfId="6" applyFont="1" applyFill="1" applyBorder="1" applyAlignment="1"/>
    <xf numFmtId="41" fontId="26" fillId="0" borderId="22" xfId="6" applyFont="1" applyFill="1" applyBorder="1" applyAlignment="1">
      <alignment vertical="top"/>
    </xf>
    <xf numFmtId="41" fontId="15" fillId="0" borderId="23" xfId="0" applyNumberFormat="1" applyFont="1" applyFill="1" applyBorder="1" applyAlignment="1">
      <alignment horizontal="left" vertical="center" wrapText="1"/>
    </xf>
    <xf numFmtId="41" fontId="14" fillId="0" borderId="23" xfId="9" applyNumberFormat="1" applyFont="1" applyFill="1" applyBorder="1"/>
    <xf numFmtId="0" fontId="4" fillId="0" borderId="0" xfId="2" applyFont="1" applyFill="1" applyAlignment="1">
      <alignment horizontal="center"/>
    </xf>
    <xf numFmtId="43" fontId="0" fillId="0" borderId="0" xfId="1" applyFont="1"/>
    <xf numFmtId="43" fontId="0" fillId="0" borderId="0" xfId="0" applyNumberFormat="1"/>
    <xf numFmtId="0" fontId="12" fillId="0" borderId="28" xfId="0" applyFont="1" applyBorder="1" applyAlignment="1"/>
    <xf numFmtId="0" fontId="12" fillId="0" borderId="27" xfId="0" quotePrefix="1" applyFont="1" applyBorder="1" applyAlignment="1">
      <alignment horizontal="left" indent="1"/>
    </xf>
    <xf numFmtId="0" fontId="12" fillId="0" borderId="20" xfId="0" applyFont="1" applyBorder="1" applyAlignment="1">
      <alignment horizontal="left" indent="3"/>
    </xf>
    <xf numFmtId="0" fontId="2" fillId="0" borderId="20" xfId="0" applyFont="1" applyBorder="1" applyAlignment="1">
      <alignment horizontal="left" indent="3"/>
    </xf>
    <xf numFmtId="41" fontId="2" fillId="0" borderId="28" xfId="6" applyFont="1" applyFill="1" applyBorder="1"/>
    <xf numFmtId="49" fontId="2" fillId="0" borderId="28" xfId="6" applyNumberFormat="1" applyFont="1" applyFill="1" applyBorder="1"/>
    <xf numFmtId="41" fontId="2" fillId="0" borderId="27" xfId="6" applyNumberFormat="1" applyFont="1" applyFill="1" applyBorder="1" applyAlignment="1">
      <alignment horizontal="right"/>
    </xf>
    <xf numFmtId="49" fontId="2" fillId="0" borderId="27" xfId="6" applyNumberFormat="1" applyFont="1" applyFill="1" applyBorder="1"/>
    <xf numFmtId="49" fontId="2" fillId="0" borderId="22" xfId="6" applyNumberFormat="1" applyFont="1" applyFill="1" applyBorder="1" applyAlignment="1">
      <alignment horizontal="center" vertical="top"/>
    </xf>
    <xf numFmtId="41" fontId="2" fillId="0" borderId="22" xfId="6" applyFont="1" applyFill="1" applyBorder="1" applyAlignment="1">
      <alignment vertical="top"/>
    </xf>
    <xf numFmtId="0" fontId="13" fillId="0" borderId="22" xfId="0" applyFont="1" applyFill="1" applyBorder="1" applyAlignment="1"/>
    <xf numFmtId="0" fontId="18" fillId="0" borderId="22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left"/>
    </xf>
    <xf numFmtId="0" fontId="15" fillId="0" borderId="20" xfId="0" quotePrefix="1" applyFont="1" applyFill="1" applyBorder="1" applyAlignment="1">
      <alignment horizontal="left" indent="1"/>
    </xf>
    <xf numFmtId="0" fontId="4" fillId="0" borderId="0" xfId="2" applyFont="1" applyFill="1" applyAlignment="1">
      <alignment horizontal="center"/>
    </xf>
    <xf numFmtId="41" fontId="2" fillId="0" borderId="22" xfId="14" applyNumberFormat="1" applyFont="1" applyFill="1" applyBorder="1"/>
    <xf numFmtId="1" fontId="27" fillId="0" borderId="23" xfId="0" applyNumberFormat="1" applyFont="1" applyFill="1" applyBorder="1" applyAlignment="1">
      <alignment vertical="top"/>
    </xf>
    <xf numFmtId="1" fontId="27" fillId="0" borderId="22" xfId="0" applyNumberFormat="1" applyFont="1" applyFill="1" applyBorder="1" applyAlignment="1">
      <alignment vertical="top"/>
    </xf>
    <xf numFmtId="1" fontId="0" fillId="0" borderId="23" xfId="0" applyNumberFormat="1" applyFont="1" applyFill="1" applyBorder="1" applyAlignment="1">
      <alignment vertical="top"/>
    </xf>
    <xf numFmtId="0" fontId="0" fillId="0" borderId="22" xfId="0" applyFont="1" applyFill="1" applyBorder="1" applyAlignment="1">
      <alignment vertical="top"/>
    </xf>
    <xf numFmtId="1" fontId="27" fillId="0" borderId="22" xfId="0" applyNumberFormat="1" applyFont="1" applyFill="1" applyBorder="1" applyAlignment="1">
      <alignment horizontal="left" vertical="top"/>
    </xf>
    <xf numFmtId="1" fontId="0" fillId="0" borderId="22" xfId="0" applyNumberFormat="1" applyFont="1" applyFill="1" applyBorder="1" applyAlignment="1">
      <alignment vertical="top"/>
    </xf>
    <xf numFmtId="3" fontId="2" fillId="0" borderId="0" xfId="2" applyNumberFormat="1" applyFont="1" applyFill="1" applyAlignment="1">
      <alignment horizontal="right"/>
    </xf>
    <xf numFmtId="0" fontId="2" fillId="0" borderId="35" xfId="7" applyFont="1" applyFill="1" applyBorder="1" applyAlignment="1">
      <alignment horizontal="center" vertical="center" wrapText="1"/>
    </xf>
    <xf numFmtId="41" fontId="14" fillId="0" borderId="0" xfId="10" applyFont="1" applyFill="1" applyBorder="1"/>
    <xf numFmtId="0" fontId="14" fillId="0" borderId="0" xfId="0" applyFont="1" applyFill="1"/>
    <xf numFmtId="0" fontId="4" fillId="0" borderId="22" xfId="0" applyFont="1" applyFill="1" applyBorder="1" applyAlignment="1"/>
    <xf numFmtId="0" fontId="28" fillId="0" borderId="0" xfId="0" applyFont="1" applyFill="1"/>
    <xf numFmtId="49" fontId="2" fillId="0" borderId="0" xfId="6" applyNumberFormat="1" applyFont="1" applyFill="1" applyBorder="1"/>
    <xf numFmtId="41" fontId="2" fillId="0" borderId="7" xfId="6" applyNumberFormat="1" applyFont="1" applyFill="1" applyBorder="1"/>
    <xf numFmtId="164" fontId="2" fillId="0" borderId="22" xfId="9" applyNumberFormat="1" applyFont="1" applyFill="1" applyBorder="1"/>
    <xf numFmtId="0" fontId="2" fillId="0" borderId="20" xfId="3" applyNumberFormat="1" applyFont="1" applyFill="1" applyBorder="1" applyAlignment="1">
      <alignment horizontal="left" indent="3"/>
    </xf>
    <xf numFmtId="0" fontId="2" fillId="0" borderId="20" xfId="6" applyNumberFormat="1" applyFont="1" applyFill="1" applyBorder="1" applyAlignment="1">
      <alignment horizontal="left" indent="3"/>
    </xf>
    <xf numFmtId="41" fontId="2" fillId="0" borderId="20" xfId="14" applyNumberFormat="1" applyFont="1" applyFill="1" applyBorder="1"/>
    <xf numFmtId="41" fontId="2" fillId="0" borderId="20" xfId="9" applyNumberFormat="1" applyFont="1" applyFill="1" applyBorder="1"/>
    <xf numFmtId="41" fontId="4" fillId="0" borderId="25" xfId="6" applyNumberFormat="1" applyFont="1" applyFill="1" applyBorder="1" applyAlignment="1">
      <alignment vertical="center"/>
    </xf>
    <xf numFmtId="0" fontId="5" fillId="0" borderId="21" xfId="2" applyFont="1" applyFill="1" applyBorder="1" applyAlignment="1">
      <alignment horizontal="center"/>
    </xf>
    <xf numFmtId="0" fontId="29" fillId="0" borderId="22" xfId="2" applyFont="1" applyFill="1" applyBorder="1" applyAlignment="1">
      <alignment horizontal="left"/>
    </xf>
    <xf numFmtId="41" fontId="21" fillId="0" borderId="6" xfId="6" applyFont="1" applyFill="1" applyBorder="1"/>
    <xf numFmtId="41" fontId="21" fillId="0" borderId="0" xfId="6" applyFont="1" applyFill="1"/>
    <xf numFmtId="0" fontId="2" fillId="0" borderId="22" xfId="6" applyNumberFormat="1" applyFont="1" applyFill="1" applyBorder="1" applyAlignment="1">
      <alignment horizontal="left" indent="3"/>
    </xf>
    <xf numFmtId="0" fontId="4" fillId="0" borderId="7" xfId="11" applyFont="1" applyFill="1" applyBorder="1" applyAlignment="1">
      <alignment horizontal="center"/>
    </xf>
    <xf numFmtId="0" fontId="12" fillId="0" borderId="0" xfId="0" quotePrefix="1" applyFont="1" applyBorder="1" applyAlignment="1">
      <alignment horizontal="left" indent="1"/>
    </xf>
    <xf numFmtId="41" fontId="2" fillId="0" borderId="7" xfId="14" applyNumberFormat="1" applyFont="1" applyFill="1" applyBorder="1"/>
    <xf numFmtId="41" fontId="2" fillId="0" borderId="7" xfId="10" applyNumberFormat="1" applyFont="1" applyFill="1" applyBorder="1"/>
    <xf numFmtId="41" fontId="4" fillId="0" borderId="7" xfId="10" applyNumberFormat="1" applyFont="1" applyFill="1" applyBorder="1"/>
    <xf numFmtId="0" fontId="2" fillId="0" borderId="20" xfId="6" applyNumberFormat="1" applyFont="1" applyFill="1" applyBorder="1" applyAlignment="1">
      <alignment horizontal="left" indent="2"/>
    </xf>
    <xf numFmtId="0" fontId="20" fillId="0" borderId="31" xfId="2" applyFont="1" applyFill="1" applyBorder="1" applyAlignment="1">
      <alignment horizontal="center"/>
    </xf>
    <xf numFmtId="0" fontId="2" fillId="0" borderId="36" xfId="3" applyNumberFormat="1" applyFont="1" applyFill="1" applyBorder="1" applyAlignment="1">
      <alignment horizontal="left" indent="2"/>
    </xf>
    <xf numFmtId="0" fontId="21" fillId="0" borderId="28" xfId="2" applyFont="1" applyFill="1" applyBorder="1"/>
    <xf numFmtId="41" fontId="21" fillId="0" borderId="28" xfId="6" applyFont="1" applyFill="1" applyBorder="1"/>
    <xf numFmtId="41" fontId="2" fillId="0" borderId="31" xfId="9" applyNumberFormat="1" applyFont="1" applyFill="1" applyBorder="1"/>
    <xf numFmtId="41" fontId="2" fillId="0" borderId="31" xfId="6" applyNumberFormat="1" applyFont="1" applyFill="1" applyBorder="1"/>
    <xf numFmtId="41" fontId="4" fillId="0" borderId="31" xfId="6" applyNumberFormat="1" applyFont="1" applyFill="1" applyBorder="1"/>
    <xf numFmtId="0" fontId="12" fillId="0" borderId="20" xfId="0" applyFont="1" applyBorder="1" applyAlignment="1">
      <alignment horizontal="left" indent="2"/>
    </xf>
    <xf numFmtId="41" fontId="2" fillId="0" borderId="22" xfId="10" applyNumberFormat="1" applyFont="1" applyFill="1" applyBorder="1"/>
    <xf numFmtId="0" fontId="9" fillId="0" borderId="22" xfId="0" applyFont="1" applyBorder="1"/>
    <xf numFmtId="2" fontId="4" fillId="0" borderId="22" xfId="2" applyNumberFormat="1" applyFont="1" applyFill="1" applyBorder="1"/>
    <xf numFmtId="41" fontId="4" fillId="0" borderId="22" xfId="6" applyFont="1" applyFill="1" applyBorder="1"/>
    <xf numFmtId="49" fontId="4" fillId="0" borderId="22" xfId="6" applyNumberFormat="1" applyFont="1" applyFill="1" applyBorder="1"/>
    <xf numFmtId="41" fontId="4" fillId="0" borderId="21" xfId="9" applyNumberFormat="1" applyFont="1" applyFill="1" applyBorder="1"/>
    <xf numFmtId="0" fontId="12" fillId="0" borderId="22" xfId="0" applyFont="1" applyFill="1" applyBorder="1" applyAlignment="1">
      <alignment horizontal="left" indent="1"/>
    </xf>
    <xf numFmtId="41" fontId="4" fillId="0" borderId="0" xfId="2" applyNumberFormat="1" applyFont="1" applyFill="1" applyBorder="1"/>
    <xf numFmtId="41" fontId="4" fillId="0" borderId="0" xfId="6" applyNumberFormat="1" applyFont="1" applyFill="1" applyBorder="1"/>
    <xf numFmtId="0" fontId="2" fillId="0" borderId="14" xfId="4" applyNumberFormat="1" applyFont="1" applyFill="1" applyBorder="1" applyAlignment="1">
      <alignment horizontal="center"/>
    </xf>
    <xf numFmtId="41" fontId="15" fillId="0" borderId="22" xfId="0" applyNumberFormat="1" applyFont="1" applyFill="1" applyBorder="1" applyAlignment="1">
      <alignment horizontal="left" vertical="center" wrapText="1"/>
    </xf>
    <xf numFmtId="164" fontId="2" fillId="0" borderId="22" xfId="1" applyNumberFormat="1" applyFont="1" applyFill="1" applyBorder="1"/>
    <xf numFmtId="41" fontId="2" fillId="0" borderId="23" xfId="9" applyNumberFormat="1" applyFont="1" applyFill="1" applyBorder="1"/>
    <xf numFmtId="0" fontId="26" fillId="0" borderId="22" xfId="0" applyFont="1" applyBorder="1" applyAlignment="1">
      <alignment horizontal="left" vertical="top"/>
    </xf>
    <xf numFmtId="0" fontId="2" fillId="0" borderId="20" xfId="2" applyFont="1" applyFill="1" applyBorder="1" applyAlignment="1">
      <alignment horizontal="left" indent="3"/>
    </xf>
    <xf numFmtId="0" fontId="2" fillId="0" borderId="22" xfId="2" applyFont="1" applyFill="1" applyBorder="1" applyAlignment="1">
      <alignment horizontal="left" indent="3"/>
    </xf>
    <xf numFmtId="41" fontId="9" fillId="0" borderId="0" xfId="0" applyNumberFormat="1" applyFont="1"/>
    <xf numFmtId="0" fontId="2" fillId="0" borderId="22" xfId="4" applyFont="1" applyFill="1" applyBorder="1" applyAlignment="1">
      <alignment horizontal="left" indent="2"/>
    </xf>
    <xf numFmtId="0" fontId="14" fillId="0" borderId="20" xfId="2" applyFont="1" applyFill="1" applyBorder="1" applyAlignment="1">
      <alignment horizontal="left" indent="1"/>
    </xf>
    <xf numFmtId="0" fontId="12" fillId="0" borderId="22" xfId="0" applyFont="1" applyBorder="1" applyAlignment="1">
      <alignment horizontal="left" indent="1"/>
    </xf>
    <xf numFmtId="0" fontId="2" fillId="0" borderId="20" xfId="2" applyFont="1" applyFill="1" applyBorder="1" applyAlignment="1">
      <alignment horizontal="center" vertical="center" wrapText="1"/>
    </xf>
    <xf numFmtId="41" fontId="14" fillId="0" borderId="0" xfId="0" applyNumberFormat="1" applyFont="1" applyFill="1"/>
    <xf numFmtId="43" fontId="2" fillId="0" borderId="0" xfId="1" applyFont="1" applyFill="1" applyAlignment="1"/>
    <xf numFmtId="0" fontId="2" fillId="0" borderId="27" xfId="0" applyFont="1" applyBorder="1" applyAlignment="1">
      <alignment horizontal="left" vertical="top" indent="3"/>
    </xf>
    <xf numFmtId="0" fontId="2" fillId="0" borderId="23" xfId="2" applyFont="1" applyFill="1" applyBorder="1"/>
    <xf numFmtId="41" fontId="2" fillId="0" borderId="0" xfId="9" applyNumberFormat="1" applyFont="1" applyFill="1" applyBorder="1"/>
    <xf numFmtId="0" fontId="13" fillId="0" borderId="22" xfId="0" applyFont="1" applyFill="1" applyBorder="1" applyAlignment="1">
      <alignment horizontal="left"/>
    </xf>
    <xf numFmtId="41" fontId="2" fillId="0" borderId="20" xfId="2" applyNumberFormat="1" applyFont="1" applyFill="1" applyBorder="1"/>
    <xf numFmtId="0" fontId="2" fillId="0" borderId="22" xfId="4" applyFont="1" applyFill="1" applyBorder="1" applyAlignment="1">
      <alignment horizontal="left"/>
    </xf>
    <xf numFmtId="0" fontId="4" fillId="0" borderId="22" xfId="4" applyFont="1" applyFill="1" applyBorder="1" applyAlignment="1">
      <alignment horizontal="left"/>
    </xf>
    <xf numFmtId="0" fontId="2" fillId="0" borderId="20" xfId="2" quotePrefix="1" applyFont="1" applyFill="1" applyBorder="1" applyAlignment="1">
      <alignment horizontal="left" indent="2"/>
    </xf>
    <xf numFmtId="0" fontId="15" fillId="0" borderId="22" xfId="0" applyFont="1" applyBorder="1" applyAlignment="1">
      <alignment horizontal="left" indent="3"/>
    </xf>
    <xf numFmtId="3" fontId="4" fillId="0" borderId="0" xfId="2" applyNumberFormat="1" applyFont="1" applyFill="1" applyBorder="1" applyAlignment="1">
      <alignment horizontal="center"/>
    </xf>
    <xf numFmtId="0" fontId="12" fillId="0" borderId="22" xfId="0" quotePrefix="1" applyFont="1" applyFill="1" applyBorder="1" applyAlignment="1">
      <alignment horizontal="left" indent="1"/>
    </xf>
    <xf numFmtId="0" fontId="2" fillId="0" borderId="22" xfId="4" applyFont="1" applyFill="1" applyBorder="1" applyAlignment="1">
      <alignment horizontal="left" indent="1"/>
    </xf>
    <xf numFmtId="2" fontId="2" fillId="0" borderId="22" xfId="2" applyNumberFormat="1" applyFont="1" applyFill="1" applyBorder="1" applyAlignment="1">
      <alignment horizontal="center"/>
    </xf>
    <xf numFmtId="0" fontId="4" fillId="0" borderId="22" xfId="6" applyNumberFormat="1" applyFont="1" applyFill="1" applyBorder="1" applyAlignment="1"/>
    <xf numFmtId="0" fontId="14" fillId="0" borderId="23" xfId="2" applyFont="1" applyFill="1" applyBorder="1"/>
    <xf numFmtId="0" fontId="2" fillId="0" borderId="22" xfId="2" applyFont="1" applyFill="1" applyBorder="1" applyAlignment="1">
      <alignment horizontal="left" indent="1"/>
    </xf>
    <xf numFmtId="41" fontId="21" fillId="0" borderId="21" xfId="6" applyNumberFormat="1" applyFont="1" applyFill="1" applyBorder="1"/>
    <xf numFmtId="49" fontId="21" fillId="0" borderId="22" xfId="6" applyNumberFormat="1" applyFont="1" applyFill="1" applyBorder="1"/>
    <xf numFmtId="41" fontId="21" fillId="0" borderId="21" xfId="9" applyNumberFormat="1" applyFont="1" applyFill="1" applyBorder="1"/>
    <xf numFmtId="41" fontId="21" fillId="0" borderId="21" xfId="10" applyFont="1" applyFill="1" applyBorder="1"/>
    <xf numFmtId="41" fontId="21" fillId="0" borderId="21" xfId="2" applyNumberFormat="1" applyFont="1" applyFill="1" applyBorder="1"/>
    <xf numFmtId="0" fontId="21" fillId="0" borderId="20" xfId="2" applyFont="1" applyFill="1" applyBorder="1"/>
    <xf numFmtId="0" fontId="2" fillId="0" borderId="0" xfId="8" applyNumberFormat="1" applyFont="1" applyFill="1" applyBorder="1" applyAlignment="1">
      <alignment horizontal="center"/>
    </xf>
    <xf numFmtId="41" fontId="4" fillId="0" borderId="0" xfId="10" applyNumberFormat="1" applyFont="1" applyFill="1" applyBorder="1"/>
    <xf numFmtId="41" fontId="14" fillId="0" borderId="0" xfId="10" applyFont="1" applyBorder="1"/>
    <xf numFmtId="0" fontId="32" fillId="0" borderId="20" xfId="0" applyFont="1" applyBorder="1" applyAlignment="1">
      <alignment horizontal="left" vertical="top" indent="3"/>
    </xf>
    <xf numFmtId="0" fontId="32" fillId="0" borderId="22" xfId="0" applyFont="1" applyBorder="1" applyAlignment="1">
      <alignment horizontal="right" vertical="top"/>
    </xf>
    <xf numFmtId="164" fontId="21" fillId="0" borderId="22" xfId="1" applyNumberFormat="1" applyFont="1" applyFill="1" applyBorder="1"/>
    <xf numFmtId="41" fontId="2" fillId="0" borderId="27" xfId="6" applyFont="1" applyFill="1" applyBorder="1" applyAlignment="1">
      <alignment vertical="top"/>
    </xf>
    <xf numFmtId="49" fontId="2" fillId="0" borderId="27" xfId="6" applyNumberFormat="1" applyFont="1" applyFill="1" applyBorder="1" applyAlignment="1">
      <alignment horizontal="center" vertical="top"/>
    </xf>
    <xf numFmtId="41" fontId="15" fillId="0" borderId="22" xfId="1" applyNumberFormat="1" applyFont="1" applyFill="1" applyBorder="1" applyAlignment="1">
      <alignment horizontal="right" vertical="center"/>
    </xf>
    <xf numFmtId="0" fontId="2" fillId="0" borderId="22" xfId="4" quotePrefix="1" applyFont="1" applyFill="1" applyBorder="1" applyAlignment="1">
      <alignment horizontal="left" indent="1"/>
    </xf>
    <xf numFmtId="0" fontId="15" fillId="0" borderId="22" xfId="0" quotePrefix="1" applyFont="1" applyFill="1" applyBorder="1" applyAlignment="1">
      <alignment horizontal="left" vertical="center" indent="1"/>
    </xf>
    <xf numFmtId="41" fontId="2" fillId="0" borderId="23" xfId="6" applyNumberFormat="1" applyFont="1" applyFill="1" applyBorder="1"/>
    <xf numFmtId="164" fontId="33" fillId="0" borderId="22" xfId="1" applyNumberFormat="1" applyFont="1" applyFill="1" applyBorder="1"/>
    <xf numFmtId="0" fontId="4" fillId="0" borderId="0" xfId="2" applyFont="1" applyFill="1" applyAlignment="1">
      <alignment horizontal="center"/>
    </xf>
    <xf numFmtId="0" fontId="4" fillId="0" borderId="0" xfId="2" applyNumberFormat="1" applyFont="1" applyFill="1" applyAlignment="1">
      <alignment horizontal="center"/>
    </xf>
    <xf numFmtId="0" fontId="2" fillId="0" borderId="0" xfId="2" applyNumberFormat="1" applyFont="1" applyFill="1" applyAlignment="1"/>
    <xf numFmtId="0" fontId="2" fillId="0" borderId="0" xfId="5" applyNumberFormat="1" applyFont="1" applyFill="1" applyBorder="1" applyAlignment="1">
      <alignment vertical="top"/>
    </xf>
    <xf numFmtId="0" fontId="4" fillId="0" borderId="0" xfId="2" applyNumberFormat="1" applyFont="1" applyFill="1" applyBorder="1" applyAlignment="1"/>
    <xf numFmtId="0" fontId="2" fillId="0" borderId="0" xfId="2" applyNumberFormat="1" applyFont="1" applyFill="1"/>
    <xf numFmtId="0" fontId="2" fillId="0" borderId="19" xfId="6" applyNumberFormat="1" applyFont="1" applyFill="1" applyBorder="1"/>
    <xf numFmtId="0" fontId="2" fillId="0" borderId="22" xfId="2" applyNumberFormat="1" applyFont="1" applyFill="1" applyBorder="1"/>
    <xf numFmtId="0" fontId="2" fillId="0" borderId="22" xfId="15" applyNumberFormat="1" applyFont="1" applyFill="1" applyBorder="1"/>
    <xf numFmtId="0" fontId="14" fillId="0" borderId="22" xfId="0" applyNumberFormat="1" applyFont="1" applyFill="1" applyBorder="1" applyAlignment="1"/>
    <xf numFmtId="0" fontId="14" fillId="0" borderId="22" xfId="10" applyNumberFormat="1" applyFont="1" applyFill="1" applyBorder="1"/>
    <xf numFmtId="0" fontId="14" fillId="0" borderId="22" xfId="6" applyNumberFormat="1" applyFont="1" applyFill="1" applyBorder="1"/>
    <xf numFmtId="0" fontId="2" fillId="0" borderId="22" xfId="13" applyNumberFormat="1" applyFont="1" applyFill="1" applyBorder="1"/>
    <xf numFmtId="0" fontId="4" fillId="0" borderId="22" xfId="2" applyNumberFormat="1" applyFont="1" applyFill="1" applyBorder="1"/>
    <xf numFmtId="0" fontId="2" fillId="0" borderId="0" xfId="6" applyNumberFormat="1" applyFont="1" applyFill="1"/>
    <xf numFmtId="0" fontId="2" fillId="0" borderId="0" xfId="3" applyNumberFormat="1" applyFont="1" applyFill="1"/>
    <xf numFmtId="0" fontId="4" fillId="0" borderId="0" xfId="2" applyNumberFormat="1" applyFont="1" applyFill="1"/>
    <xf numFmtId="0" fontId="2" fillId="0" borderId="22" xfId="0" applyNumberFormat="1" applyFont="1" applyFill="1" applyBorder="1" applyAlignment="1">
      <alignment horizontal="right"/>
    </xf>
    <xf numFmtId="0" fontId="4" fillId="0" borderId="22" xfId="6" applyNumberFormat="1" applyFont="1" applyFill="1" applyBorder="1"/>
    <xf numFmtId="0" fontId="2" fillId="0" borderId="22" xfId="2" applyNumberFormat="1" applyFont="1" applyFill="1" applyBorder="1" applyAlignment="1">
      <alignment horizontal="right"/>
    </xf>
    <xf numFmtId="0" fontId="2" fillId="0" borderId="0" xfId="2" applyFont="1" applyFill="1" applyAlignment="1">
      <alignment horizontal="center"/>
    </xf>
    <xf numFmtId="0" fontId="2" fillId="0" borderId="0" xfId="5" applyFont="1" applyFill="1" applyBorder="1" applyAlignment="1">
      <alignment horizontal="center" vertical="top"/>
    </xf>
    <xf numFmtId="41" fontId="2" fillId="0" borderId="0" xfId="2" applyNumberFormat="1" applyFont="1" applyFill="1" applyAlignment="1">
      <alignment horizontal="center"/>
    </xf>
    <xf numFmtId="49" fontId="2" fillId="0" borderId="19" xfId="6" applyNumberFormat="1" applyFont="1" applyFill="1" applyBorder="1" applyAlignment="1">
      <alignment horizontal="center"/>
    </xf>
    <xf numFmtId="49" fontId="2" fillId="0" borderId="22" xfId="15" applyNumberFormat="1" applyFont="1" applyFill="1" applyBorder="1" applyAlignment="1">
      <alignment horizontal="center"/>
    </xf>
    <xf numFmtId="41" fontId="2" fillId="0" borderId="22" xfId="10" applyFont="1" applyFill="1" applyBorder="1" applyAlignment="1">
      <alignment horizontal="center"/>
    </xf>
    <xf numFmtId="49" fontId="2" fillId="0" borderId="22" xfId="13" applyNumberFormat="1" applyFont="1" applyFill="1" applyBorder="1" applyAlignment="1">
      <alignment horizontal="center"/>
    </xf>
    <xf numFmtId="49" fontId="4" fillId="0" borderId="22" xfId="6" applyNumberFormat="1" applyFont="1" applyFill="1" applyBorder="1" applyAlignment="1">
      <alignment horizontal="center"/>
    </xf>
    <xf numFmtId="49" fontId="2" fillId="0" borderId="0" xfId="6" applyNumberFormat="1" applyFont="1" applyFill="1" applyAlignment="1">
      <alignment horizontal="center"/>
    </xf>
    <xf numFmtId="49" fontId="2" fillId="0" borderId="0" xfId="3" applyNumberFormat="1" applyFont="1" applyFill="1" applyAlignment="1">
      <alignment horizontal="center"/>
    </xf>
    <xf numFmtId="0" fontId="4" fillId="0" borderId="0" xfId="2" applyFont="1" applyFill="1" applyAlignment="1">
      <alignment horizontal="left"/>
    </xf>
    <xf numFmtId="0" fontId="2" fillId="0" borderId="0" xfId="2" applyFont="1" applyFill="1" applyAlignment="1">
      <alignment horizontal="left"/>
    </xf>
    <xf numFmtId="0" fontId="2" fillId="0" borderId="0" xfId="5" applyFont="1" applyFill="1" applyBorder="1" applyAlignment="1">
      <alignment horizontal="left" vertical="top"/>
    </xf>
    <xf numFmtId="164" fontId="4" fillId="0" borderId="0" xfId="1" applyNumberFormat="1" applyFont="1" applyFill="1" applyAlignment="1">
      <alignment horizontal="left"/>
    </xf>
    <xf numFmtId="41" fontId="2" fillId="0" borderId="0" xfId="2" applyNumberFormat="1" applyFont="1" applyFill="1" applyAlignment="1">
      <alignment horizontal="left"/>
    </xf>
    <xf numFmtId="49" fontId="2" fillId="0" borderId="19" xfId="6" applyNumberFormat="1" applyFont="1" applyFill="1" applyBorder="1" applyAlignment="1">
      <alignment horizontal="left"/>
    </xf>
    <xf numFmtId="49" fontId="2" fillId="0" borderId="22" xfId="2" applyNumberFormat="1" applyFont="1" applyFill="1" applyBorder="1" applyAlignment="1">
      <alignment horizontal="left"/>
    </xf>
    <xf numFmtId="49" fontId="2" fillId="0" borderId="22" xfId="15" applyNumberFormat="1" applyFont="1" applyFill="1" applyBorder="1" applyAlignment="1">
      <alignment horizontal="left"/>
    </xf>
    <xf numFmtId="41" fontId="2" fillId="0" borderId="22" xfId="10" applyFont="1" applyFill="1" applyBorder="1" applyAlignment="1">
      <alignment horizontal="left"/>
    </xf>
    <xf numFmtId="49" fontId="14" fillId="0" borderId="22" xfId="6" applyNumberFormat="1" applyFont="1" applyFill="1" applyBorder="1" applyAlignment="1">
      <alignment horizontal="left"/>
    </xf>
    <xf numFmtId="49" fontId="2" fillId="0" borderId="22" xfId="13" applyNumberFormat="1" applyFont="1" applyFill="1" applyBorder="1" applyAlignment="1">
      <alignment horizontal="left"/>
    </xf>
    <xf numFmtId="49" fontId="4" fillId="0" borderId="22" xfId="6" applyNumberFormat="1" applyFont="1" applyFill="1" applyBorder="1" applyAlignment="1">
      <alignment horizontal="left"/>
    </xf>
    <xf numFmtId="2" fontId="2" fillId="0" borderId="22" xfId="2" applyNumberFormat="1" applyFont="1" applyFill="1" applyBorder="1" applyAlignment="1">
      <alignment horizontal="left"/>
    </xf>
    <xf numFmtId="49" fontId="2" fillId="0" borderId="0" xfId="6" applyNumberFormat="1" applyFont="1" applyFill="1" applyAlignment="1">
      <alignment horizontal="left"/>
    </xf>
    <xf numFmtId="49" fontId="2" fillId="0" borderId="0" xfId="3" applyNumberFormat="1" applyFont="1" applyFill="1" applyAlignment="1">
      <alignment horizontal="left"/>
    </xf>
    <xf numFmtId="41" fontId="14" fillId="0" borderId="22" xfId="10" applyFont="1" applyFill="1" applyBorder="1" applyAlignment="1">
      <alignment horizontal="left"/>
    </xf>
    <xf numFmtId="0" fontId="2" fillId="0" borderId="22" xfId="2" applyFont="1" applyFill="1" applyBorder="1" applyAlignment="1">
      <alignment horizontal="left"/>
    </xf>
    <xf numFmtId="2" fontId="4" fillId="0" borderId="22" xfId="2" applyNumberFormat="1" applyFont="1" applyFill="1" applyBorder="1" applyAlignment="1">
      <alignment horizontal="left"/>
    </xf>
    <xf numFmtId="41" fontId="2" fillId="0" borderId="7" xfId="9" applyNumberFormat="1" applyFont="1" applyFill="1" applyBorder="1"/>
    <xf numFmtId="41" fontId="2" fillId="0" borderId="32" xfId="6" applyNumberFormat="1" applyFont="1" applyFill="1" applyBorder="1"/>
    <xf numFmtId="0" fontId="2" fillId="0" borderId="15" xfId="4" quotePrefix="1" applyNumberFormat="1" applyFont="1" applyFill="1" applyBorder="1" applyAlignment="1">
      <alignment horizontal="center"/>
    </xf>
    <xf numFmtId="0" fontId="2" fillId="0" borderId="15" xfId="2" quotePrefix="1" applyNumberFormat="1" applyFont="1" applyFill="1" applyBorder="1" applyAlignment="1">
      <alignment horizontal="center"/>
    </xf>
    <xf numFmtId="41" fontId="2" fillId="0" borderId="37" xfId="6" applyNumberFormat="1" applyFont="1" applyFill="1" applyBorder="1"/>
    <xf numFmtId="41" fontId="2" fillId="0" borderId="20" xfId="6" applyNumberFormat="1" applyFont="1" applyFill="1" applyBorder="1"/>
    <xf numFmtId="41" fontId="4" fillId="0" borderId="20" xfId="2" applyNumberFormat="1" applyFont="1" applyFill="1" applyBorder="1"/>
    <xf numFmtId="41" fontId="2" fillId="0" borderId="38" xfId="2" applyNumberFormat="1" applyFont="1" applyFill="1" applyBorder="1"/>
    <xf numFmtId="41" fontId="2" fillId="0" borderId="20" xfId="10" applyFont="1" applyFill="1" applyBorder="1"/>
    <xf numFmtId="41" fontId="14" fillId="0" borderId="20" xfId="2" applyNumberFormat="1" applyFont="1" applyFill="1" applyBorder="1"/>
    <xf numFmtId="41" fontId="2" fillId="0" borderId="20" xfId="10" applyNumberFormat="1" applyFont="1" applyFill="1" applyBorder="1"/>
    <xf numFmtId="41" fontId="4" fillId="0" borderId="20" xfId="9" applyNumberFormat="1" applyFont="1" applyFill="1" applyBorder="1"/>
    <xf numFmtId="41" fontId="4" fillId="0" borderId="0" xfId="6" applyFont="1" applyFill="1" applyBorder="1"/>
    <xf numFmtId="41" fontId="2" fillId="0" borderId="0" xfId="3" applyNumberFormat="1" applyFont="1" applyFill="1" applyBorder="1"/>
    <xf numFmtId="43" fontId="0" fillId="0" borderId="0" xfId="1" applyFont="1" applyAlignment="1">
      <alignment horizontal="left" indent="1"/>
    </xf>
    <xf numFmtId="9" fontId="0" fillId="0" borderId="0" xfId="18" applyFont="1"/>
    <xf numFmtId="41" fontId="0" fillId="0" borderId="0" xfId="19" applyFont="1"/>
    <xf numFmtId="41" fontId="2" fillId="0" borderId="14" xfId="4" quotePrefix="1" applyNumberFormat="1" applyFont="1" applyFill="1" applyBorder="1" applyAlignment="1">
      <alignment horizontal="center" vertical="center"/>
    </xf>
    <xf numFmtId="0" fontId="2" fillId="0" borderId="14" xfId="4" quotePrefix="1" applyNumberFormat="1" applyFont="1" applyFill="1" applyBorder="1" applyAlignment="1">
      <alignment horizontal="center" vertical="center"/>
    </xf>
    <xf numFmtId="0" fontId="2" fillId="0" borderId="10" xfId="4" quotePrefix="1" applyNumberFormat="1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left"/>
    </xf>
    <xf numFmtId="0" fontId="2" fillId="0" borderId="15" xfId="2" applyNumberFormat="1" applyFont="1" applyFill="1" applyBorder="1" applyAlignment="1">
      <alignment horizontal="center"/>
    </xf>
    <xf numFmtId="0" fontId="2" fillId="0" borderId="16" xfId="2" applyNumberFormat="1" applyFont="1" applyFill="1" applyBorder="1" applyAlignment="1">
      <alignment horizontal="center"/>
    </xf>
    <xf numFmtId="0" fontId="2" fillId="0" borderId="17" xfId="2" applyNumberFormat="1" applyFont="1" applyFill="1" applyBorder="1" applyAlignment="1">
      <alignment horizontal="center"/>
    </xf>
    <xf numFmtId="41" fontId="4" fillId="0" borderId="25" xfId="6" applyFont="1" applyFill="1" applyBorder="1" applyAlignment="1">
      <alignment horizontal="center" vertical="center"/>
    </xf>
    <xf numFmtId="41" fontId="4" fillId="0" borderId="26" xfId="6" applyFont="1" applyFill="1" applyBorder="1" applyAlignment="1">
      <alignment horizontal="center" vertical="center"/>
    </xf>
    <xf numFmtId="0" fontId="4" fillId="0" borderId="0" xfId="2" applyFont="1" applyFill="1" applyAlignment="1">
      <alignment horizontal="center"/>
    </xf>
    <xf numFmtId="0" fontId="2" fillId="0" borderId="1" xfId="2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0" fontId="2" fillId="0" borderId="10" xfId="2" applyFont="1" applyFill="1" applyBorder="1" applyAlignment="1">
      <alignment horizontal="center" vertical="center"/>
    </xf>
    <xf numFmtId="0" fontId="2" fillId="0" borderId="2" xfId="2" applyFont="1" applyFill="1" applyBorder="1" applyAlignment="1">
      <alignment horizontal="center" vertical="center"/>
    </xf>
    <xf numFmtId="0" fontId="2" fillId="0" borderId="3" xfId="2" applyFont="1" applyFill="1" applyBorder="1" applyAlignment="1">
      <alignment horizontal="center" vertical="center"/>
    </xf>
    <xf numFmtId="0" fontId="2" fillId="0" borderId="4" xfId="2" applyFont="1" applyFill="1" applyBorder="1" applyAlignment="1">
      <alignment horizontal="center" vertical="center"/>
    </xf>
    <xf numFmtId="0" fontId="2" fillId="0" borderId="5" xfId="7" applyFont="1" applyFill="1" applyBorder="1" applyAlignment="1">
      <alignment horizontal="center" vertical="center" wrapText="1"/>
    </xf>
    <xf numFmtId="0" fontId="2" fillId="0" borderId="33" xfId="7" applyFont="1" applyFill="1" applyBorder="1" applyAlignment="1">
      <alignment horizontal="center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2" fillId="0" borderId="7" xfId="2" applyNumberFormat="1" applyFont="1" applyFill="1" applyBorder="1" applyAlignment="1">
      <alignment horizontal="center" vertical="center" wrapText="1"/>
    </xf>
    <xf numFmtId="41" fontId="2" fillId="0" borderId="10" xfId="2" applyNumberFormat="1" applyFont="1" applyFill="1" applyBorder="1" applyAlignment="1">
      <alignment horizontal="center" vertical="center" wrapText="1"/>
    </xf>
    <xf numFmtId="0" fontId="2" fillId="0" borderId="6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11" xfId="2" applyFont="1" applyFill="1" applyBorder="1" applyAlignment="1">
      <alignment horizontal="center" vertical="center"/>
    </xf>
    <xf numFmtId="0" fontId="2" fillId="0" borderId="12" xfId="2" applyFont="1" applyFill="1" applyBorder="1" applyAlignment="1">
      <alignment horizontal="center" vertical="center"/>
    </xf>
    <xf numFmtId="0" fontId="2" fillId="0" borderId="13" xfId="2" applyFont="1" applyFill="1" applyBorder="1" applyAlignment="1">
      <alignment horizontal="center" vertical="center"/>
    </xf>
    <xf numFmtId="41" fontId="4" fillId="0" borderId="29" xfId="6" applyFont="1" applyFill="1" applyBorder="1" applyAlignment="1">
      <alignment horizontal="center" vertical="center"/>
    </xf>
    <xf numFmtId="3" fontId="4" fillId="0" borderId="0" xfId="2" applyNumberFormat="1" applyFont="1" applyFill="1" applyBorder="1" applyAlignment="1">
      <alignment horizontal="center"/>
    </xf>
    <xf numFmtId="0" fontId="2" fillId="0" borderId="15" xfId="2" applyFont="1" applyFill="1" applyBorder="1" applyAlignment="1">
      <alignment horizontal="center"/>
    </xf>
    <xf numFmtId="0" fontId="2" fillId="0" borderId="16" xfId="2" applyFont="1" applyFill="1" applyBorder="1" applyAlignment="1">
      <alignment horizontal="center"/>
    </xf>
    <xf numFmtId="0" fontId="2" fillId="0" borderId="17" xfId="2" applyFont="1" applyFill="1" applyBorder="1" applyAlignment="1">
      <alignment horizontal="center"/>
    </xf>
    <xf numFmtId="0" fontId="6" fillId="0" borderId="5" xfId="7" applyFont="1" applyFill="1" applyBorder="1" applyAlignment="1">
      <alignment horizontal="center" vertical="center" wrapText="1"/>
    </xf>
    <xf numFmtId="0" fontId="2" fillId="0" borderId="34" xfId="7" applyFont="1" applyFill="1" applyBorder="1" applyAlignment="1">
      <alignment horizontal="center" vertical="center" wrapText="1"/>
    </xf>
    <xf numFmtId="0" fontId="2" fillId="0" borderId="1" xfId="7" applyFont="1" applyFill="1" applyBorder="1" applyAlignment="1">
      <alignment horizontal="center" vertical="center" wrapText="1"/>
    </xf>
    <xf numFmtId="0" fontId="2" fillId="0" borderId="7" xfId="7" applyFont="1" applyFill="1" applyBorder="1" applyAlignment="1">
      <alignment horizontal="center" vertical="center" wrapText="1"/>
    </xf>
    <xf numFmtId="0" fontId="2" fillId="0" borderId="10" xfId="7" applyFont="1" applyFill="1" applyBorder="1" applyAlignment="1">
      <alignment horizontal="center" vertical="center" wrapText="1"/>
    </xf>
    <xf numFmtId="0" fontId="2" fillId="0" borderId="30" xfId="7" applyFont="1" applyFill="1" applyBorder="1" applyAlignment="1">
      <alignment horizontal="center" vertical="center" wrapText="1"/>
    </xf>
    <xf numFmtId="0" fontId="14" fillId="0" borderId="15" xfId="2" applyFont="1" applyFill="1" applyBorder="1" applyAlignment="1">
      <alignment horizontal="center"/>
    </xf>
    <xf numFmtId="0" fontId="14" fillId="0" borderId="16" xfId="2" applyFont="1" applyFill="1" applyBorder="1" applyAlignment="1">
      <alignment horizontal="center"/>
    </xf>
    <xf numFmtId="0" fontId="14" fillId="0" borderId="17" xfId="2" applyFont="1" applyFill="1" applyBorder="1" applyAlignment="1">
      <alignment horizontal="center"/>
    </xf>
    <xf numFmtId="41" fontId="19" fillId="0" borderId="25" xfId="6" applyFont="1" applyFill="1" applyBorder="1" applyAlignment="1">
      <alignment horizontal="center" vertical="center"/>
    </xf>
    <xf numFmtId="41" fontId="19" fillId="0" borderId="26" xfId="6" applyFont="1" applyFill="1" applyBorder="1" applyAlignment="1">
      <alignment horizontal="center" vertical="center"/>
    </xf>
    <xf numFmtId="41" fontId="19" fillId="0" borderId="29" xfId="6" applyFont="1" applyFill="1" applyBorder="1" applyAlignment="1">
      <alignment horizontal="center" vertical="center"/>
    </xf>
    <xf numFmtId="0" fontId="19" fillId="0" borderId="0" xfId="2" applyFont="1" applyFill="1" applyAlignment="1">
      <alignment horizontal="center"/>
    </xf>
    <xf numFmtId="3" fontId="19" fillId="0" borderId="0" xfId="2" applyNumberFormat="1" applyFont="1" applyFill="1" applyBorder="1" applyAlignment="1">
      <alignment horizontal="center"/>
    </xf>
    <xf numFmtId="0" fontId="14" fillId="0" borderId="1" xfId="2" applyFont="1" applyFill="1" applyBorder="1" applyAlignment="1">
      <alignment horizontal="center" vertical="center"/>
    </xf>
    <xf numFmtId="0" fontId="14" fillId="0" borderId="7" xfId="2" applyFont="1" applyFill="1" applyBorder="1" applyAlignment="1">
      <alignment horizontal="center" vertical="center"/>
    </xf>
    <xf numFmtId="0" fontId="14" fillId="0" borderId="10" xfId="2" applyFont="1" applyFill="1" applyBorder="1" applyAlignment="1">
      <alignment horizontal="center" vertical="center"/>
    </xf>
    <xf numFmtId="0" fontId="14" fillId="0" borderId="2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4" xfId="2" applyFont="1" applyFill="1" applyBorder="1" applyAlignment="1">
      <alignment horizontal="center" vertical="center"/>
    </xf>
    <xf numFmtId="0" fontId="30" fillId="0" borderId="5" xfId="7" applyFont="1" applyFill="1" applyBorder="1" applyAlignment="1">
      <alignment horizontal="center" vertical="center" wrapText="1"/>
    </xf>
    <xf numFmtId="41" fontId="14" fillId="0" borderId="1" xfId="2" applyNumberFormat="1" applyFont="1" applyFill="1" applyBorder="1" applyAlignment="1">
      <alignment horizontal="center" vertical="center" wrapText="1"/>
    </xf>
    <xf numFmtId="41" fontId="14" fillId="0" borderId="7" xfId="2" applyNumberFormat="1" applyFont="1" applyFill="1" applyBorder="1" applyAlignment="1">
      <alignment horizontal="center" vertical="center" wrapText="1"/>
    </xf>
    <xf numFmtId="41" fontId="14" fillId="0" borderId="10" xfId="2" applyNumberFormat="1" applyFont="1" applyFill="1" applyBorder="1" applyAlignment="1">
      <alignment horizontal="center" vertical="center" wrapText="1"/>
    </xf>
    <xf numFmtId="0" fontId="14" fillId="0" borderId="6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0" fontId="14" fillId="0" borderId="8" xfId="2" applyFont="1" applyFill="1" applyBorder="1" applyAlignment="1">
      <alignment horizontal="center" vertical="center"/>
    </xf>
    <xf numFmtId="0" fontId="14" fillId="0" borderId="11" xfId="2" applyFont="1" applyFill="1" applyBorder="1" applyAlignment="1">
      <alignment horizontal="center" vertical="center"/>
    </xf>
    <xf numFmtId="0" fontId="14" fillId="0" borderId="12" xfId="2" applyFont="1" applyFill="1" applyBorder="1" applyAlignment="1">
      <alignment horizontal="center" vertical="center"/>
    </xf>
    <xf numFmtId="0" fontId="14" fillId="0" borderId="13" xfId="2" applyFont="1" applyFill="1" applyBorder="1" applyAlignment="1">
      <alignment horizontal="center" vertical="center"/>
    </xf>
    <xf numFmtId="0" fontId="31" fillId="0" borderId="5" xfId="7" applyFont="1" applyFill="1" applyBorder="1" applyAlignment="1">
      <alignment horizontal="center" vertical="center" wrapText="1"/>
    </xf>
  </cellXfs>
  <cellStyles count="20">
    <cellStyle name="Comma" xfId="1" builtinId="3"/>
    <cellStyle name="Comma [0]" xfId="19" builtinId="6"/>
    <cellStyle name="Comma [0] 10" xfId="3"/>
    <cellStyle name="Comma [0] 14 2" xfId="6"/>
    <cellStyle name="Comma [0] 16" xfId="15"/>
    <cellStyle name="Comma [0] 2" xfId="8"/>
    <cellStyle name="Comma [0] 2 3" xfId="13"/>
    <cellStyle name="Comma [0] 3" xfId="16"/>
    <cellStyle name="Comma [0] 33 2" xfId="10"/>
    <cellStyle name="Comma 3" xfId="17"/>
    <cellStyle name="Comma 41 2" xfId="14"/>
    <cellStyle name="Comma 7 2" xfId="9"/>
    <cellStyle name="Normal" xfId="0" builtinId="0"/>
    <cellStyle name="Normal 10 13" xfId="2"/>
    <cellStyle name="Normal 2" xfId="4"/>
    <cellStyle name="Normal 3 2" xfId="7"/>
    <cellStyle name="Normal 34" xfId="12"/>
    <cellStyle name="Normal 35 2" xfId="11"/>
    <cellStyle name="Normal_INTEGRASI IKK SMK" xfId="5"/>
    <cellStyle name="Percent" xfId="18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B_2014_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lestarikan"/>
      <sheetName val="Inventarisasi"/>
      <sheetName val="Naskah"/>
      <sheetName val="Internalisasi"/>
      <sheetName val="Dokumentasi"/>
      <sheetName val="Perkantoran"/>
      <sheetName val="Pengolah_data"/>
      <sheetName val="Peralatan"/>
      <sheetName val="Sheet1"/>
    </sheetNames>
    <sheetDataSet>
      <sheetData sheetId="0">
        <row r="12">
          <cell r="E12">
            <v>2554607000</v>
          </cell>
        </row>
      </sheetData>
      <sheetData sheetId="1"/>
      <sheetData sheetId="2"/>
      <sheetData sheetId="3"/>
      <sheetData sheetId="4"/>
      <sheetData sheetId="5">
        <row r="21">
          <cell r="AE21">
            <v>1750000000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201"/>
  <sheetViews>
    <sheetView view="pageBreakPreview" topLeftCell="A7" zoomScale="75" zoomScaleSheetLayoutView="75" workbookViewId="0">
      <selection activeCell="X21" sqref="X21"/>
    </sheetView>
  </sheetViews>
  <sheetFormatPr defaultColWidth="8.88671875" defaultRowHeight="13.2"/>
  <cols>
    <col min="1" max="1" width="9" style="29" bestFit="1" customWidth="1"/>
    <col min="2" max="2" width="21.6640625" style="29" customWidth="1"/>
    <col min="3" max="3" width="3.109375" style="29" customWidth="1"/>
    <col min="4" max="4" width="4.5546875" style="29" customWidth="1"/>
    <col min="5" max="5" width="13.44140625" style="29" bestFit="1" customWidth="1"/>
    <col min="6" max="6" width="3.6640625" style="89" customWidth="1"/>
    <col min="7" max="7" width="4.5546875" style="426" customWidth="1"/>
    <col min="8" max="8" width="4.33203125" style="455" customWidth="1"/>
    <col min="9" max="9" width="4.6640625" style="89" customWidth="1"/>
    <col min="10" max="10" width="3" style="426" bestFit="1" customWidth="1"/>
    <col min="11" max="11" width="5.44140625" style="455" bestFit="1" customWidth="1"/>
    <col min="12" max="12" width="3.33203125" style="440" bestFit="1" customWidth="1"/>
    <col min="13" max="13" width="4.5546875" style="89" bestFit="1" customWidth="1"/>
    <col min="14" max="14" width="15.6640625" style="29" bestFit="1" customWidth="1"/>
    <col min="15" max="16" width="12.33203125" style="28" hidden="1" customWidth="1"/>
    <col min="17" max="18" width="13.6640625" style="28" hidden="1" customWidth="1"/>
    <col min="19" max="19" width="13.33203125" style="28" hidden="1" customWidth="1"/>
    <col min="20" max="20" width="12" style="28" hidden="1" customWidth="1"/>
    <col min="21" max="21" width="14.33203125" style="28" hidden="1" customWidth="1"/>
    <col min="22" max="22" width="12.33203125" style="28" hidden="1" customWidth="1"/>
    <col min="23" max="23" width="15.6640625" style="109" bestFit="1" customWidth="1"/>
    <col min="24" max="24" width="15.6640625" style="34" bestFit="1" customWidth="1"/>
    <col min="25" max="26" width="8.88671875" style="29"/>
    <col min="27" max="27" width="10.5546875" style="29" bestFit="1" customWidth="1"/>
    <col min="28" max="16384" width="8.88671875" style="29"/>
  </cols>
  <sheetData>
    <row r="1" spans="1:24" s="16" customFormat="1">
      <c r="A1" s="486" t="s">
        <v>0</v>
      </c>
      <c r="B1" s="486"/>
      <c r="C1" s="486"/>
      <c r="D1" s="486"/>
      <c r="E1" s="486"/>
      <c r="F1" s="486"/>
      <c r="G1" s="486"/>
      <c r="H1" s="486"/>
      <c r="I1" s="486"/>
      <c r="J1" s="486"/>
      <c r="K1" s="486"/>
      <c r="L1" s="486"/>
      <c r="M1" s="486"/>
      <c r="N1" s="486"/>
      <c r="O1" s="486"/>
      <c r="P1" s="486"/>
      <c r="Q1" s="486"/>
      <c r="R1" s="486"/>
      <c r="S1" s="486"/>
      <c r="T1" s="486"/>
      <c r="U1" s="486"/>
      <c r="V1" s="486"/>
      <c r="W1" s="486"/>
      <c r="X1" s="14"/>
    </row>
    <row r="2" spans="1:24" s="16" customFormat="1">
      <c r="A2" s="313"/>
      <c r="B2" s="313"/>
      <c r="C2" s="313"/>
      <c r="D2" s="18"/>
      <c r="E2" s="313"/>
      <c r="F2" s="313"/>
      <c r="G2" s="413"/>
      <c r="H2" s="442"/>
      <c r="I2" s="313"/>
      <c r="J2" s="413"/>
      <c r="K2" s="442"/>
      <c r="L2" s="412"/>
      <c r="M2" s="19"/>
      <c r="N2" s="19"/>
      <c r="O2" s="19"/>
      <c r="P2" s="19"/>
      <c r="Q2" s="19"/>
      <c r="R2" s="19"/>
      <c r="S2" s="19"/>
      <c r="T2" s="19"/>
      <c r="U2" s="19"/>
      <c r="V2" s="19"/>
      <c r="W2" s="473"/>
      <c r="X2" s="14"/>
    </row>
    <row r="3" spans="1:24" s="16" customFormat="1">
      <c r="A3" s="21" t="s">
        <v>1</v>
      </c>
      <c r="B3" s="21"/>
      <c r="C3" s="22" t="s">
        <v>2</v>
      </c>
      <c r="D3" s="1" t="s">
        <v>236</v>
      </c>
      <c r="E3" s="15"/>
      <c r="F3" s="1"/>
      <c r="G3" s="414"/>
      <c r="H3" s="443"/>
      <c r="I3" s="1"/>
      <c r="J3" s="414"/>
      <c r="K3" s="443"/>
      <c r="L3" s="432"/>
      <c r="M3" s="1"/>
      <c r="N3" s="1"/>
      <c r="O3" s="1"/>
      <c r="P3" s="1"/>
      <c r="Q3" s="1"/>
      <c r="R3" s="1"/>
      <c r="W3" s="78"/>
      <c r="X3" s="78"/>
    </row>
    <row r="4" spans="1:24" s="16" customFormat="1">
      <c r="A4" s="21" t="s">
        <v>4</v>
      </c>
      <c r="B4" s="21"/>
      <c r="C4" s="22" t="s">
        <v>2</v>
      </c>
      <c r="D4" s="1" t="s">
        <v>34</v>
      </c>
      <c r="E4" s="15"/>
      <c r="F4" s="1"/>
      <c r="G4" s="414"/>
      <c r="H4" s="443"/>
      <c r="I4" s="1"/>
      <c r="J4" s="414"/>
      <c r="K4" s="443"/>
      <c r="L4" s="432"/>
      <c r="M4" s="1"/>
      <c r="N4" s="1"/>
      <c r="O4" s="1"/>
      <c r="P4" s="1"/>
      <c r="Q4" s="1"/>
      <c r="R4" s="1"/>
      <c r="W4" s="78"/>
      <c r="X4" s="78"/>
    </row>
    <row r="5" spans="1:24" s="16" customFormat="1" ht="14.4" customHeight="1">
      <c r="A5" s="21" t="s">
        <v>5</v>
      </c>
      <c r="B5" s="21"/>
      <c r="C5" s="22" t="s">
        <v>2</v>
      </c>
      <c r="D5" s="1" t="s">
        <v>37</v>
      </c>
      <c r="E5" s="1"/>
      <c r="F5" s="1"/>
      <c r="G5" s="414"/>
      <c r="H5" s="443"/>
      <c r="I5" s="1"/>
      <c r="J5" s="414"/>
      <c r="K5" s="443"/>
      <c r="L5" s="432"/>
      <c r="M5" s="1"/>
      <c r="N5" s="1"/>
      <c r="O5" s="1"/>
      <c r="P5" s="1"/>
      <c r="Q5" s="1"/>
      <c r="R5" s="1"/>
      <c r="W5" s="78"/>
      <c r="X5" s="78"/>
    </row>
    <row r="6" spans="1:24" s="16" customFormat="1">
      <c r="A6" s="21" t="s">
        <v>6</v>
      </c>
      <c r="B6" s="21"/>
      <c r="C6" s="22" t="s">
        <v>2</v>
      </c>
      <c r="D6" s="98" t="s">
        <v>189</v>
      </c>
      <c r="E6" s="15"/>
      <c r="F6" s="1"/>
      <c r="G6" s="414"/>
      <c r="H6" s="443"/>
      <c r="I6" s="1"/>
      <c r="J6" s="414"/>
      <c r="K6" s="443"/>
      <c r="L6" s="432"/>
      <c r="M6" s="1"/>
      <c r="N6" s="1"/>
      <c r="O6" s="1"/>
      <c r="P6" s="1"/>
      <c r="Q6" s="1"/>
      <c r="R6" s="1"/>
      <c r="W6" s="78"/>
      <c r="X6" s="78"/>
    </row>
    <row r="7" spans="1:24" s="16" customFormat="1">
      <c r="A7" s="21" t="s">
        <v>7</v>
      </c>
      <c r="B7" s="21"/>
      <c r="C7" s="22" t="s">
        <v>2</v>
      </c>
      <c r="D7" s="1" t="s">
        <v>35</v>
      </c>
      <c r="E7" s="15"/>
      <c r="F7" s="1"/>
      <c r="G7" s="414"/>
      <c r="H7" s="443"/>
      <c r="I7" s="1"/>
      <c r="J7" s="414"/>
      <c r="K7" s="443"/>
      <c r="L7" s="432"/>
      <c r="M7" s="1"/>
      <c r="N7" s="1"/>
      <c r="O7" s="1"/>
      <c r="P7" s="1"/>
      <c r="Q7" s="1"/>
      <c r="R7" s="1"/>
      <c r="W7" s="78"/>
      <c r="X7" s="78"/>
    </row>
    <row r="8" spans="1:24" s="16" customFormat="1">
      <c r="A8" s="21" t="s">
        <v>8</v>
      </c>
      <c r="B8" s="21"/>
      <c r="C8" s="22" t="s">
        <v>2</v>
      </c>
      <c r="D8" s="16" t="s">
        <v>38</v>
      </c>
      <c r="E8" s="1"/>
      <c r="F8" s="1"/>
      <c r="G8" s="414"/>
      <c r="H8" s="443"/>
      <c r="I8" s="1"/>
      <c r="J8" s="414"/>
      <c r="K8" s="443"/>
      <c r="L8" s="432"/>
      <c r="M8" s="1"/>
      <c r="N8" s="1"/>
      <c r="O8" s="1"/>
      <c r="P8" s="1"/>
      <c r="Q8" s="1"/>
      <c r="R8" s="1"/>
      <c r="W8" s="78"/>
      <c r="X8" s="78"/>
    </row>
    <row r="9" spans="1:24" s="16" customFormat="1">
      <c r="A9" s="21" t="s">
        <v>9</v>
      </c>
      <c r="B9" s="21"/>
      <c r="C9" s="22" t="s">
        <v>2</v>
      </c>
      <c r="D9" s="13" t="s">
        <v>39</v>
      </c>
      <c r="E9" s="13"/>
      <c r="F9" s="13"/>
      <c r="G9" s="415"/>
      <c r="H9" s="444"/>
      <c r="I9" s="13"/>
      <c r="J9" s="415"/>
      <c r="K9" s="444"/>
      <c r="L9" s="433"/>
      <c r="M9" s="13"/>
      <c r="N9" s="13"/>
      <c r="O9" s="13"/>
      <c r="P9" s="13"/>
      <c r="Q9" s="13"/>
      <c r="R9" s="13"/>
      <c r="W9" s="78"/>
      <c r="X9" s="78"/>
    </row>
    <row r="10" spans="1:24" s="16" customFormat="1">
      <c r="A10" s="21" t="s">
        <v>10</v>
      </c>
      <c r="B10" s="21"/>
      <c r="C10" s="22" t="s">
        <v>2</v>
      </c>
      <c r="D10" s="1" t="s">
        <v>36</v>
      </c>
      <c r="E10" s="15"/>
      <c r="F10" s="1"/>
      <c r="G10" s="414"/>
      <c r="H10" s="443"/>
      <c r="I10" s="1"/>
      <c r="J10" s="414"/>
      <c r="K10" s="443"/>
      <c r="L10" s="432"/>
      <c r="M10" s="1"/>
      <c r="N10" s="1"/>
      <c r="O10" s="1"/>
      <c r="P10" s="1"/>
      <c r="Q10" s="1"/>
      <c r="R10" s="1"/>
      <c r="W10" s="78"/>
      <c r="X10" s="78"/>
    </row>
    <row r="11" spans="1:24" s="16" customFormat="1">
      <c r="A11" s="21" t="s">
        <v>11</v>
      </c>
      <c r="B11" s="21"/>
      <c r="C11" s="22" t="s">
        <v>2</v>
      </c>
      <c r="D11" s="206" t="s">
        <v>560</v>
      </c>
      <c r="E11" s="15"/>
      <c r="F11" s="1"/>
      <c r="G11" s="414"/>
      <c r="H11" s="443"/>
      <c r="I11" s="1"/>
      <c r="J11" s="414"/>
      <c r="K11" s="443"/>
      <c r="L11" s="432"/>
      <c r="M11" s="1"/>
      <c r="N11" s="1"/>
      <c r="O11" s="1"/>
      <c r="P11" s="1"/>
      <c r="Q11" s="1"/>
      <c r="R11" s="1"/>
      <c r="W11" s="78"/>
      <c r="X11" s="78"/>
    </row>
    <row r="12" spans="1:24" s="16" customFormat="1">
      <c r="A12" s="22" t="s">
        <v>12</v>
      </c>
      <c r="C12" s="22" t="s">
        <v>2</v>
      </c>
      <c r="D12" s="23" t="s">
        <v>13</v>
      </c>
      <c r="E12" s="386">
        <f>W191</f>
        <v>2554607000</v>
      </c>
      <c r="F12" s="23"/>
      <c r="G12" s="416"/>
      <c r="H12" s="442"/>
      <c r="I12" s="22"/>
      <c r="J12" s="428"/>
      <c r="K12" s="445"/>
      <c r="L12" s="412"/>
      <c r="M12" s="25"/>
      <c r="N12" s="26"/>
      <c r="O12" s="27"/>
      <c r="P12" s="27"/>
      <c r="Q12" s="27"/>
      <c r="R12" s="27"/>
      <c r="S12" s="27"/>
      <c r="T12" s="27"/>
      <c r="U12" s="27"/>
      <c r="V12" s="27"/>
      <c r="W12" s="109"/>
      <c r="X12" s="34"/>
    </row>
    <row r="13" spans="1:24" s="16" customFormat="1" ht="13.8" thickBot="1">
      <c r="A13" s="22"/>
      <c r="B13" s="30"/>
      <c r="F13" s="31"/>
      <c r="G13" s="417"/>
      <c r="H13" s="443"/>
      <c r="I13" s="31"/>
      <c r="J13" s="417"/>
      <c r="K13" s="446"/>
      <c r="L13" s="434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175"/>
      <c r="X13" s="78"/>
    </row>
    <row r="14" spans="1:24" s="16" customFormat="1" ht="23.4" customHeight="1" thickTop="1">
      <c r="A14" s="487" t="s">
        <v>14</v>
      </c>
      <c r="B14" s="490" t="s">
        <v>15</v>
      </c>
      <c r="C14" s="491"/>
      <c r="D14" s="491"/>
      <c r="E14" s="491"/>
      <c r="F14" s="491"/>
      <c r="G14" s="491"/>
      <c r="H14" s="491"/>
      <c r="I14" s="491"/>
      <c r="J14" s="491"/>
      <c r="K14" s="491"/>
      <c r="L14" s="491"/>
      <c r="M14" s="491"/>
      <c r="N14" s="492"/>
      <c r="O14" s="493" t="s">
        <v>357</v>
      </c>
      <c r="P14" s="493"/>
      <c r="Q14" s="493"/>
      <c r="R14" s="493"/>
      <c r="S14" s="493"/>
      <c r="T14" s="493"/>
      <c r="U14" s="493"/>
      <c r="V14" s="494"/>
      <c r="W14" s="495" t="s">
        <v>16</v>
      </c>
      <c r="X14" s="172"/>
    </row>
    <row r="15" spans="1:24" s="16" customFormat="1" ht="63" customHeight="1">
      <c r="A15" s="488"/>
      <c r="B15" s="498" t="s">
        <v>17</v>
      </c>
      <c r="C15" s="499"/>
      <c r="D15" s="499"/>
      <c r="E15" s="499"/>
      <c r="F15" s="499"/>
      <c r="G15" s="499"/>
      <c r="H15" s="499"/>
      <c r="I15" s="499"/>
      <c r="J15" s="499"/>
      <c r="K15" s="499"/>
      <c r="L15" s="499"/>
      <c r="M15" s="499"/>
      <c r="N15" s="500"/>
      <c r="O15" s="33" t="s">
        <v>18</v>
      </c>
      <c r="P15" s="33" t="s">
        <v>625</v>
      </c>
      <c r="Q15" s="33" t="s">
        <v>589</v>
      </c>
      <c r="R15" s="33" t="s">
        <v>594</v>
      </c>
      <c r="S15" s="33" t="s">
        <v>590</v>
      </c>
      <c r="T15" s="33" t="s">
        <v>167</v>
      </c>
      <c r="U15" s="33" t="s">
        <v>184</v>
      </c>
      <c r="V15" s="322" t="s">
        <v>222</v>
      </c>
      <c r="W15" s="496"/>
      <c r="X15" s="172"/>
    </row>
    <row r="16" spans="1:24" s="16" customFormat="1">
      <c r="A16" s="489"/>
      <c r="B16" s="501" t="s">
        <v>19</v>
      </c>
      <c r="C16" s="502"/>
      <c r="D16" s="502"/>
      <c r="E16" s="502"/>
      <c r="F16" s="502"/>
      <c r="G16" s="502"/>
      <c r="H16" s="502"/>
      <c r="I16" s="502"/>
      <c r="J16" s="502"/>
      <c r="K16" s="502"/>
      <c r="L16" s="502"/>
      <c r="M16" s="502"/>
      <c r="N16" s="503"/>
      <c r="O16" s="35" t="s">
        <v>20</v>
      </c>
      <c r="P16" s="93">
        <v>521219</v>
      </c>
      <c r="Q16" s="93">
        <v>524111</v>
      </c>
      <c r="R16" s="93">
        <v>524113</v>
      </c>
      <c r="S16" s="93">
        <v>524119</v>
      </c>
      <c r="T16" s="93">
        <v>522141</v>
      </c>
      <c r="U16" s="93">
        <v>523199</v>
      </c>
      <c r="V16" s="462"/>
      <c r="W16" s="497"/>
      <c r="X16" s="172"/>
    </row>
    <row r="17" spans="1:24" s="191" customFormat="1">
      <c r="A17" s="189" t="s">
        <v>21</v>
      </c>
      <c r="B17" s="481">
        <v>2</v>
      </c>
      <c r="C17" s="482"/>
      <c r="D17" s="482"/>
      <c r="E17" s="482"/>
      <c r="F17" s="482"/>
      <c r="G17" s="482"/>
      <c r="H17" s="482"/>
      <c r="I17" s="482"/>
      <c r="J17" s="482"/>
      <c r="K17" s="482"/>
      <c r="L17" s="482"/>
      <c r="M17" s="482"/>
      <c r="N17" s="483"/>
      <c r="O17" s="189">
        <v>3</v>
      </c>
      <c r="P17" s="189"/>
      <c r="Q17" s="189"/>
      <c r="R17" s="189"/>
      <c r="S17" s="189">
        <v>5</v>
      </c>
      <c r="T17" s="189">
        <v>6</v>
      </c>
      <c r="U17" s="189">
        <v>7</v>
      </c>
      <c r="V17" s="463">
        <v>8</v>
      </c>
      <c r="W17" s="189" t="s">
        <v>25</v>
      </c>
      <c r="X17" s="399"/>
    </row>
    <row r="18" spans="1:24">
      <c r="A18" s="37"/>
      <c r="B18" s="38"/>
      <c r="C18" s="38"/>
      <c r="D18" s="38"/>
      <c r="E18" s="38"/>
      <c r="F18" s="39"/>
      <c r="G18" s="418"/>
      <c r="H18" s="447"/>
      <c r="I18" s="39"/>
      <c r="J18" s="418"/>
      <c r="K18" s="447"/>
      <c r="L18" s="435"/>
      <c r="M18" s="39"/>
      <c r="N18" s="38"/>
      <c r="O18" s="40"/>
      <c r="P18" s="40"/>
      <c r="Q18" s="40"/>
      <c r="R18" s="40"/>
      <c r="S18" s="40"/>
      <c r="T18" s="40"/>
      <c r="U18" s="40"/>
      <c r="V18" s="464"/>
      <c r="W18" s="40"/>
    </row>
    <row r="19" spans="1:24">
      <c r="A19" s="42"/>
      <c r="B19" s="55" t="s">
        <v>38</v>
      </c>
      <c r="C19" s="16"/>
      <c r="D19" s="16"/>
      <c r="E19" s="16"/>
      <c r="F19" s="16"/>
      <c r="G19" s="417"/>
      <c r="H19" s="443"/>
      <c r="I19" s="16"/>
      <c r="J19" s="417"/>
      <c r="K19" s="443"/>
      <c r="L19" s="432"/>
      <c r="M19" s="16"/>
      <c r="N19" s="16"/>
      <c r="O19" s="43"/>
      <c r="P19" s="43"/>
      <c r="Q19" s="43"/>
      <c r="R19" s="43"/>
      <c r="S19" s="43"/>
      <c r="T19" s="43"/>
      <c r="U19" s="43"/>
      <c r="V19" s="43"/>
      <c r="W19" s="50"/>
    </row>
    <row r="20" spans="1:24">
      <c r="A20" s="123"/>
      <c r="B20" s="16"/>
      <c r="C20" s="46"/>
      <c r="D20" s="46"/>
      <c r="E20" s="47"/>
      <c r="F20" s="48"/>
      <c r="G20" s="115"/>
      <c r="H20" s="116"/>
      <c r="I20" s="48"/>
      <c r="J20" s="115"/>
      <c r="K20" s="116"/>
      <c r="L20" s="64"/>
      <c r="M20" s="48"/>
      <c r="N20" s="47"/>
      <c r="O20" s="49"/>
      <c r="P20" s="49"/>
      <c r="Q20" s="49"/>
      <c r="R20" s="49"/>
      <c r="S20" s="49"/>
      <c r="T20" s="49"/>
      <c r="U20" s="49"/>
      <c r="V20" s="465"/>
      <c r="W20" s="49"/>
    </row>
    <row r="21" spans="1:24">
      <c r="A21" s="54">
        <v>1</v>
      </c>
      <c r="B21" s="55" t="s">
        <v>422</v>
      </c>
      <c r="C21" s="4"/>
      <c r="D21" s="51"/>
      <c r="E21" s="4"/>
      <c r="F21" s="52"/>
      <c r="G21" s="419"/>
      <c r="H21" s="448"/>
      <c r="I21" s="52"/>
      <c r="J21" s="419"/>
      <c r="K21" s="448"/>
      <c r="L21" s="75"/>
      <c r="M21" s="52"/>
      <c r="N21" s="4"/>
      <c r="O21" s="53"/>
      <c r="P21" s="53"/>
      <c r="Q21" s="53"/>
      <c r="R21" s="53"/>
      <c r="S21" s="53"/>
      <c r="T21" s="53"/>
      <c r="U21" s="53"/>
      <c r="V21" s="466"/>
      <c r="W21" s="58"/>
      <c r="X21" s="34">
        <f>SUM(W22:W132)</f>
        <v>334378000</v>
      </c>
    </row>
    <row r="22" spans="1:24">
      <c r="A22" s="54" t="s">
        <v>195</v>
      </c>
      <c r="B22" s="46" t="s">
        <v>462</v>
      </c>
      <c r="C22" s="4"/>
      <c r="D22" s="4"/>
      <c r="E22" s="4"/>
      <c r="F22" s="52"/>
      <c r="G22" s="115"/>
      <c r="H22" s="116"/>
      <c r="I22" s="64"/>
      <c r="J22" s="115"/>
      <c r="K22" s="116"/>
      <c r="L22" s="64"/>
      <c r="M22" s="48"/>
      <c r="N22" s="47"/>
      <c r="O22" s="63"/>
      <c r="P22" s="63"/>
      <c r="Q22" s="63"/>
      <c r="R22" s="63"/>
      <c r="S22" s="65"/>
      <c r="T22" s="65"/>
      <c r="U22" s="65"/>
      <c r="V22" s="381"/>
      <c r="W22" s="49">
        <f>SUM(O22:V22)</f>
        <v>0</v>
      </c>
      <c r="X22" s="34">
        <f>SUM(W26:W69)</f>
        <v>129645000</v>
      </c>
    </row>
    <row r="23" spans="1:24">
      <c r="A23" s="54"/>
      <c r="B23" s="46"/>
      <c r="C23" s="4"/>
      <c r="D23" s="4"/>
      <c r="E23" s="4"/>
      <c r="F23" s="52"/>
      <c r="G23" s="115"/>
      <c r="H23" s="116"/>
      <c r="I23" s="64"/>
      <c r="J23" s="115"/>
      <c r="K23" s="116"/>
      <c r="L23" s="64"/>
      <c r="M23" s="48"/>
      <c r="N23" s="47"/>
      <c r="O23" s="63"/>
      <c r="P23" s="63"/>
      <c r="Q23" s="63"/>
      <c r="R23" s="63"/>
      <c r="S23" s="65"/>
      <c r="T23" s="65"/>
      <c r="U23" s="65"/>
      <c r="V23" s="381"/>
      <c r="W23" s="49">
        <f>SUM(O23:V23)</f>
        <v>0</v>
      </c>
    </row>
    <row r="24" spans="1:24">
      <c r="A24" s="54" t="s">
        <v>49</v>
      </c>
      <c r="B24" s="46" t="s">
        <v>501</v>
      </c>
      <c r="C24" s="4"/>
      <c r="D24" s="4"/>
      <c r="E24" s="4"/>
      <c r="F24" s="52"/>
      <c r="G24" s="115"/>
      <c r="H24" s="116"/>
      <c r="I24" s="64"/>
      <c r="J24" s="115"/>
      <c r="K24" s="116"/>
      <c r="L24" s="64"/>
      <c r="M24" s="48"/>
      <c r="N24" s="47"/>
      <c r="O24" s="63"/>
      <c r="P24" s="63"/>
      <c r="Q24" s="63"/>
      <c r="R24" s="63"/>
      <c r="S24" s="65"/>
      <c r="T24" s="65"/>
      <c r="U24" s="65"/>
      <c r="V24" s="381"/>
      <c r="W24" s="49"/>
    </row>
    <row r="25" spans="1:24">
      <c r="A25" s="54"/>
      <c r="B25" s="3" t="s">
        <v>42</v>
      </c>
      <c r="C25" s="10"/>
      <c r="D25" s="10"/>
      <c r="E25" s="77"/>
      <c r="F25" s="11"/>
      <c r="G25" s="420"/>
      <c r="H25" s="449"/>
      <c r="I25" s="11"/>
      <c r="J25" s="420"/>
      <c r="K25" s="449"/>
      <c r="L25" s="436"/>
      <c r="M25" s="11"/>
      <c r="N25" s="77"/>
      <c r="O25" s="63"/>
      <c r="P25" s="63"/>
      <c r="Q25" s="63"/>
      <c r="R25" s="63"/>
      <c r="S25" s="65"/>
      <c r="T25" s="65"/>
      <c r="U25" s="65"/>
      <c r="V25" s="381"/>
      <c r="W25" s="49">
        <f>SUM(O25:V25)</f>
        <v>0</v>
      </c>
    </row>
    <row r="26" spans="1:24">
      <c r="A26" s="54"/>
      <c r="B26" s="382" t="s">
        <v>44</v>
      </c>
      <c r="C26" s="10"/>
      <c r="D26" s="10"/>
      <c r="E26" s="77"/>
      <c r="F26" s="11"/>
      <c r="G26" s="115">
        <v>5</v>
      </c>
      <c r="H26" s="116" t="s">
        <v>30</v>
      </c>
      <c r="I26" s="64" t="s">
        <v>27</v>
      </c>
      <c r="J26" s="115">
        <v>2</v>
      </c>
      <c r="K26" s="116" t="s">
        <v>200</v>
      </c>
      <c r="L26" s="64" t="s">
        <v>27</v>
      </c>
      <c r="M26" s="48" t="s">
        <v>28</v>
      </c>
      <c r="N26" s="47">
        <v>50000</v>
      </c>
      <c r="O26" s="63">
        <f>N26*J26*G26</f>
        <v>500000</v>
      </c>
      <c r="P26" s="63"/>
      <c r="Q26" s="63"/>
      <c r="R26" s="63"/>
      <c r="S26" s="65"/>
      <c r="T26" s="65"/>
      <c r="U26" s="65"/>
      <c r="V26" s="381"/>
      <c r="W26" s="49">
        <f>SUM(O26:V26)</f>
        <v>500000</v>
      </c>
    </row>
    <row r="27" spans="1:24">
      <c r="A27" s="54"/>
      <c r="B27" s="371"/>
      <c r="C27" s="10"/>
      <c r="D27" s="10"/>
      <c r="E27" s="77"/>
      <c r="F27" s="11"/>
      <c r="G27" s="420"/>
      <c r="H27" s="449"/>
      <c r="I27" s="11"/>
      <c r="J27" s="115"/>
      <c r="K27" s="116"/>
      <c r="L27" s="64"/>
      <c r="M27" s="48"/>
      <c r="N27" s="47"/>
      <c r="O27" s="63">
        <f>N27*J27</f>
        <v>0</v>
      </c>
      <c r="P27" s="63"/>
      <c r="Q27" s="63"/>
      <c r="R27" s="63"/>
      <c r="S27" s="65"/>
      <c r="T27" s="65"/>
      <c r="U27" s="65"/>
      <c r="V27" s="381"/>
      <c r="W27" s="49">
        <f>SUM(O27:V27)</f>
        <v>0</v>
      </c>
    </row>
    <row r="28" spans="1:24">
      <c r="A28" s="54" t="s">
        <v>50</v>
      </c>
      <c r="B28" s="383" t="s">
        <v>502</v>
      </c>
      <c r="C28" s="10"/>
      <c r="D28" s="10"/>
      <c r="E28" s="77"/>
      <c r="F28" s="11"/>
      <c r="G28" s="115"/>
      <c r="H28" s="116"/>
      <c r="I28" s="64"/>
      <c r="J28" s="115"/>
      <c r="K28" s="116"/>
      <c r="L28" s="64"/>
      <c r="M28" s="48"/>
      <c r="N28" s="47"/>
      <c r="O28" s="63"/>
      <c r="P28" s="63"/>
      <c r="Q28" s="63"/>
      <c r="R28" s="63"/>
      <c r="S28" s="65"/>
      <c r="T28" s="65"/>
      <c r="U28" s="381"/>
      <c r="V28" s="381"/>
      <c r="W28" s="49"/>
      <c r="X28" s="34">
        <f>SUM(W30:W65)</f>
        <v>128945000</v>
      </c>
    </row>
    <row r="29" spans="1:24">
      <c r="A29" s="54"/>
      <c r="B29" s="3" t="s">
        <v>42</v>
      </c>
      <c r="C29" s="10"/>
      <c r="D29" s="10"/>
      <c r="E29" s="77"/>
      <c r="F29" s="11"/>
      <c r="G29" s="420"/>
      <c r="H29" s="449"/>
      <c r="I29" s="11"/>
      <c r="J29" s="420"/>
      <c r="K29" s="449"/>
      <c r="L29" s="436"/>
      <c r="M29" s="11"/>
      <c r="N29" s="77"/>
      <c r="O29" s="63"/>
      <c r="P29" s="63"/>
      <c r="Q29" s="63"/>
      <c r="R29" s="63"/>
      <c r="S29" s="65"/>
      <c r="T29" s="65"/>
      <c r="U29" s="65"/>
      <c r="V29" s="467"/>
      <c r="W29" s="49">
        <f t="shared" ref="W29:W37" si="0">SUM(O29:V29)</f>
        <v>0</v>
      </c>
    </row>
    <row r="30" spans="1:24">
      <c r="A30" s="54"/>
      <c r="B30" s="371" t="s">
        <v>226</v>
      </c>
      <c r="C30" s="10"/>
      <c r="D30" s="10"/>
      <c r="E30" s="77"/>
      <c r="F30" s="11"/>
      <c r="G30" s="420"/>
      <c r="H30" s="449"/>
      <c r="I30" s="11"/>
      <c r="J30" s="115">
        <v>2</v>
      </c>
      <c r="K30" s="116" t="s">
        <v>47</v>
      </c>
      <c r="L30" s="64" t="s">
        <v>27</v>
      </c>
      <c r="M30" s="48" t="s">
        <v>28</v>
      </c>
      <c r="N30" s="47">
        <v>400000</v>
      </c>
      <c r="O30" s="63">
        <f>N30*J30</f>
        <v>800000</v>
      </c>
      <c r="P30" s="63"/>
      <c r="Q30" s="63"/>
      <c r="R30" s="63"/>
      <c r="S30" s="65"/>
      <c r="T30" s="65"/>
      <c r="U30" s="65"/>
      <c r="V30" s="381"/>
      <c r="W30" s="49">
        <f t="shared" si="0"/>
        <v>800000</v>
      </c>
    </row>
    <row r="31" spans="1:24">
      <c r="A31" s="54"/>
      <c r="B31" s="371" t="s">
        <v>225</v>
      </c>
      <c r="C31" s="10"/>
      <c r="D31" s="10"/>
      <c r="E31" s="77"/>
      <c r="F31" s="11"/>
      <c r="G31" s="115">
        <v>50</v>
      </c>
      <c r="H31" s="116" t="s">
        <v>30</v>
      </c>
      <c r="I31" s="64" t="s">
        <v>27</v>
      </c>
      <c r="J31" s="115">
        <v>1</v>
      </c>
      <c r="K31" s="116" t="s">
        <v>200</v>
      </c>
      <c r="L31" s="64" t="s">
        <v>27</v>
      </c>
      <c r="M31" s="48" t="s">
        <v>28</v>
      </c>
      <c r="N31" s="47">
        <v>50000</v>
      </c>
      <c r="O31" s="63">
        <f>N31*J31*G31</f>
        <v>2500000</v>
      </c>
      <c r="P31" s="63"/>
      <c r="Q31" s="63"/>
      <c r="R31" s="63"/>
      <c r="S31" s="65"/>
      <c r="T31" s="65"/>
      <c r="U31" s="65"/>
      <c r="V31" s="381"/>
      <c r="W31" s="49">
        <f t="shared" si="0"/>
        <v>2500000</v>
      </c>
    </row>
    <row r="32" spans="1:24">
      <c r="A32" s="54"/>
      <c r="B32" s="371"/>
      <c r="C32" s="10"/>
      <c r="D32" s="10"/>
      <c r="E32" s="77"/>
      <c r="F32" s="11"/>
      <c r="G32" s="115"/>
      <c r="H32" s="116"/>
      <c r="I32" s="64"/>
      <c r="J32" s="115"/>
      <c r="K32" s="116"/>
      <c r="L32" s="64"/>
      <c r="M32" s="48"/>
      <c r="N32" s="47"/>
      <c r="O32" s="63"/>
      <c r="P32" s="63"/>
      <c r="Q32" s="63"/>
      <c r="R32" s="63"/>
      <c r="S32" s="65"/>
      <c r="T32" s="65"/>
      <c r="U32" s="381"/>
      <c r="V32" s="381"/>
      <c r="W32" s="49"/>
    </row>
    <row r="33" spans="1:24">
      <c r="A33" s="54"/>
      <c r="B33" s="309" t="s">
        <v>64</v>
      </c>
      <c r="C33" s="4"/>
      <c r="D33" s="4"/>
      <c r="E33" s="4"/>
      <c r="F33" s="52"/>
      <c r="G33" s="115"/>
      <c r="H33" s="116"/>
      <c r="I33" s="64"/>
      <c r="J33" s="115"/>
      <c r="K33" s="116"/>
      <c r="L33" s="64"/>
      <c r="M33" s="48"/>
      <c r="N33" s="47"/>
      <c r="O33" s="49"/>
      <c r="P33" s="49"/>
      <c r="Q33" s="49"/>
      <c r="R33" s="49"/>
      <c r="S33" s="63"/>
      <c r="T33" s="49"/>
      <c r="U33" s="285"/>
      <c r="V33" s="285"/>
      <c r="W33" s="49">
        <f t="shared" si="0"/>
        <v>0</v>
      </c>
      <c r="X33" s="29"/>
    </row>
    <row r="34" spans="1:24">
      <c r="A34" s="54"/>
      <c r="B34" s="118" t="s">
        <v>120</v>
      </c>
      <c r="C34" s="4"/>
      <c r="D34" s="4"/>
      <c r="E34" s="4"/>
      <c r="F34" s="52"/>
      <c r="G34" s="115">
        <v>2</v>
      </c>
      <c r="H34" s="116" t="s">
        <v>30</v>
      </c>
      <c r="I34" s="64" t="s">
        <v>27</v>
      </c>
      <c r="J34" s="115">
        <v>3</v>
      </c>
      <c r="K34" s="116" t="s">
        <v>78</v>
      </c>
      <c r="L34" s="64" t="s">
        <v>27</v>
      </c>
      <c r="M34" s="48" t="s">
        <v>28</v>
      </c>
      <c r="N34" s="47">
        <v>900000</v>
      </c>
      <c r="O34" s="49"/>
      <c r="P34" s="49"/>
      <c r="Q34" s="49"/>
      <c r="R34" s="49"/>
      <c r="S34" s="63"/>
      <c r="T34" s="49"/>
      <c r="U34" s="285"/>
      <c r="V34" s="285">
        <f>N34*J34*G34</f>
        <v>5400000</v>
      </c>
      <c r="W34" s="49">
        <f t="shared" si="0"/>
        <v>5400000</v>
      </c>
      <c r="X34" s="29"/>
    </row>
    <row r="35" spans="1:24">
      <c r="A35" s="54"/>
      <c r="B35" s="118" t="s">
        <v>230</v>
      </c>
      <c r="C35" s="4"/>
      <c r="D35" s="4"/>
      <c r="E35" s="4"/>
      <c r="F35" s="52"/>
      <c r="G35" s="115">
        <v>1</v>
      </c>
      <c r="H35" s="116" t="s">
        <v>30</v>
      </c>
      <c r="I35" s="64" t="s">
        <v>27</v>
      </c>
      <c r="J35" s="115">
        <v>6</v>
      </c>
      <c r="K35" s="116" t="s">
        <v>78</v>
      </c>
      <c r="L35" s="64" t="s">
        <v>27</v>
      </c>
      <c r="M35" s="48" t="s">
        <v>28</v>
      </c>
      <c r="N35" s="47">
        <v>500000</v>
      </c>
      <c r="O35" s="49"/>
      <c r="P35" s="49"/>
      <c r="Q35" s="49"/>
      <c r="R35" s="49"/>
      <c r="S35" s="63"/>
      <c r="T35" s="49"/>
      <c r="U35" s="285"/>
      <c r="V35" s="285">
        <f>N35*J35*G35</f>
        <v>3000000</v>
      </c>
      <c r="W35" s="49">
        <f t="shared" si="0"/>
        <v>3000000</v>
      </c>
      <c r="X35" s="29"/>
    </row>
    <row r="36" spans="1:24">
      <c r="A36" s="54"/>
      <c r="B36" s="118"/>
      <c r="C36" s="4"/>
      <c r="D36" s="4"/>
      <c r="E36" s="4"/>
      <c r="F36" s="52"/>
      <c r="G36" s="115"/>
      <c r="H36" s="116"/>
      <c r="I36" s="64"/>
      <c r="J36" s="115"/>
      <c r="K36" s="116"/>
      <c r="L36" s="64"/>
      <c r="M36" s="48"/>
      <c r="N36" s="47"/>
      <c r="O36" s="49"/>
      <c r="P36" s="49"/>
      <c r="Q36" s="49"/>
      <c r="R36" s="49"/>
      <c r="S36" s="63"/>
      <c r="T36" s="49"/>
      <c r="U36" s="285"/>
      <c r="V36" s="285"/>
      <c r="W36" s="49"/>
      <c r="X36" s="29"/>
    </row>
    <row r="37" spans="1:24">
      <c r="A37" s="54"/>
      <c r="B37" s="3" t="s">
        <v>591</v>
      </c>
      <c r="C37" s="4"/>
      <c r="D37" s="4"/>
      <c r="E37" s="4"/>
      <c r="F37" s="52"/>
      <c r="G37" s="115"/>
      <c r="H37" s="116"/>
      <c r="I37" s="64"/>
      <c r="J37" s="115"/>
      <c r="K37" s="116"/>
      <c r="L37" s="64"/>
      <c r="M37" s="48"/>
      <c r="N37" s="47"/>
      <c r="O37" s="49"/>
      <c r="P37" s="49"/>
      <c r="Q37" s="49"/>
      <c r="R37" s="49"/>
      <c r="S37" s="63"/>
      <c r="T37" s="49"/>
      <c r="U37" s="285"/>
      <c r="V37" s="285"/>
      <c r="W37" s="49">
        <f t="shared" si="0"/>
        <v>0</v>
      </c>
      <c r="X37" s="29"/>
    </row>
    <row r="38" spans="1:24">
      <c r="A38" s="54"/>
      <c r="B38" s="118" t="s">
        <v>623</v>
      </c>
      <c r="C38" s="4"/>
      <c r="D38" s="310"/>
      <c r="E38" s="4"/>
      <c r="F38" s="52"/>
      <c r="G38" s="115"/>
      <c r="H38" s="116"/>
      <c r="I38" s="64"/>
      <c r="J38" s="115"/>
      <c r="K38" s="116"/>
      <c r="L38" s="64"/>
      <c r="M38" s="48"/>
      <c r="N38" s="47"/>
      <c r="O38" s="49"/>
      <c r="P38" s="49"/>
      <c r="Q38" s="49"/>
      <c r="R38" s="49"/>
      <c r="S38" s="63"/>
      <c r="T38" s="49"/>
      <c r="U38" s="285"/>
      <c r="V38" s="285"/>
      <c r="W38" s="49">
        <f>SUM(O38:V38)</f>
        <v>0</v>
      </c>
      <c r="X38" s="29">
        <f>SUM(W39:W65)</f>
        <v>117245000</v>
      </c>
    </row>
    <row r="39" spans="1:24">
      <c r="A39" s="54"/>
      <c r="B39" s="312" t="s">
        <v>624</v>
      </c>
      <c r="C39" s="4"/>
      <c r="D39" s="4"/>
      <c r="E39" s="4"/>
      <c r="F39" s="52"/>
      <c r="G39" s="421">
        <v>1</v>
      </c>
      <c r="H39" s="311" t="s">
        <v>30</v>
      </c>
      <c r="I39" s="64" t="s">
        <v>27</v>
      </c>
      <c r="J39" s="429">
        <v>1</v>
      </c>
      <c r="K39" s="311" t="s">
        <v>26</v>
      </c>
      <c r="L39" s="64" t="s">
        <v>27</v>
      </c>
      <c r="M39" s="48" t="s">
        <v>28</v>
      </c>
      <c r="N39" s="47">
        <v>110000</v>
      </c>
      <c r="O39" s="49"/>
      <c r="P39" s="49"/>
      <c r="Q39" s="49"/>
      <c r="R39" s="49"/>
      <c r="S39" s="65">
        <f>G39*J39*N39</f>
        <v>110000</v>
      </c>
      <c r="T39" s="49"/>
      <c r="U39" s="285"/>
      <c r="V39" s="285"/>
      <c r="W39" s="49">
        <f>SUM(O39:V39)</f>
        <v>110000</v>
      </c>
      <c r="X39" s="29">
        <f>SUM(W39:W41)</f>
        <v>873000</v>
      </c>
    </row>
    <row r="40" spans="1:24">
      <c r="A40" s="54"/>
      <c r="B40" s="408" t="s">
        <v>186</v>
      </c>
      <c r="C40" s="10"/>
      <c r="D40" s="10"/>
      <c r="E40" s="77"/>
      <c r="F40" s="11"/>
      <c r="G40" s="115">
        <v>1</v>
      </c>
      <c r="H40" s="116" t="s">
        <v>30</v>
      </c>
      <c r="I40" s="64" t="s">
        <v>27</v>
      </c>
      <c r="J40" s="115">
        <v>1</v>
      </c>
      <c r="K40" s="116" t="s">
        <v>31</v>
      </c>
      <c r="L40" s="64" t="s">
        <v>27</v>
      </c>
      <c r="M40" s="48" t="s">
        <v>28</v>
      </c>
      <c r="N40" s="47">
        <v>563000</v>
      </c>
      <c r="O40" s="63"/>
      <c r="P40" s="63"/>
      <c r="Q40" s="63"/>
      <c r="R40" s="63"/>
      <c r="S40" s="65">
        <f>G40*J40*N40</f>
        <v>563000</v>
      </c>
      <c r="T40" s="65"/>
      <c r="U40" s="65"/>
      <c r="V40" s="381"/>
      <c r="W40" s="49">
        <f t="shared" ref="W40" si="1">SUM(O40:V40)</f>
        <v>563000</v>
      </c>
    </row>
    <row r="41" spans="1:24">
      <c r="A41" s="54"/>
      <c r="B41" s="409" t="s">
        <v>592</v>
      </c>
      <c r="C41" s="4"/>
      <c r="D41" s="4"/>
      <c r="E41" s="4"/>
      <c r="F41" s="52"/>
      <c r="G41" s="115">
        <v>1</v>
      </c>
      <c r="H41" s="116" t="s">
        <v>30</v>
      </c>
      <c r="I41" s="64" t="s">
        <v>27</v>
      </c>
      <c r="J41" s="115">
        <v>2</v>
      </c>
      <c r="K41" s="116" t="s">
        <v>31</v>
      </c>
      <c r="L41" s="64" t="s">
        <v>27</v>
      </c>
      <c r="M41" s="48" t="s">
        <v>28</v>
      </c>
      <c r="N41" s="47">
        <v>100000</v>
      </c>
      <c r="O41" s="49"/>
      <c r="P41" s="49"/>
      <c r="Q41" s="49"/>
      <c r="R41" s="49"/>
      <c r="S41" s="65">
        <f>G41*J41*N41</f>
        <v>200000</v>
      </c>
      <c r="T41" s="49"/>
      <c r="U41" s="285"/>
      <c r="V41" s="285"/>
      <c r="W41" s="49">
        <f t="shared" ref="W41" si="2">SUM(O41:V41)</f>
        <v>200000</v>
      </c>
      <c r="X41" s="29"/>
    </row>
    <row r="42" spans="1:24">
      <c r="A42" s="54"/>
      <c r="B42" s="3"/>
      <c r="C42" s="10"/>
      <c r="D42" s="10"/>
      <c r="E42" s="77"/>
      <c r="F42" s="11"/>
      <c r="G42" s="420"/>
      <c r="H42" s="449"/>
      <c r="I42" s="11"/>
      <c r="J42" s="420"/>
      <c r="K42" s="449"/>
      <c r="L42" s="436"/>
      <c r="M42" s="11"/>
      <c r="N42" s="77"/>
      <c r="O42" s="63"/>
      <c r="P42" s="63"/>
      <c r="Q42" s="63"/>
      <c r="R42" s="63"/>
      <c r="S42" s="65"/>
      <c r="T42" s="49"/>
      <c r="U42" s="65"/>
      <c r="V42" s="381"/>
      <c r="W42" s="49">
        <f>SUM(O42:V42)</f>
        <v>0</v>
      </c>
    </row>
    <row r="43" spans="1:24">
      <c r="A43" s="54"/>
      <c r="B43" s="118" t="s">
        <v>622</v>
      </c>
      <c r="C43" s="4"/>
      <c r="D43" s="310"/>
      <c r="E43" s="4"/>
      <c r="F43" s="52"/>
      <c r="G43" s="115"/>
      <c r="H43" s="116"/>
      <c r="I43" s="64"/>
      <c r="J43" s="115"/>
      <c r="K43" s="116"/>
      <c r="L43" s="64"/>
      <c r="M43" s="48"/>
      <c r="N43" s="47"/>
      <c r="O43" s="49"/>
      <c r="P43" s="49"/>
      <c r="Q43" s="49"/>
      <c r="R43" s="49"/>
      <c r="S43" s="63"/>
      <c r="T43" s="49"/>
      <c r="U43" s="285"/>
      <c r="V43" s="285"/>
      <c r="W43" s="49">
        <f t="shared" ref="W43:W66" si="3">SUM(O43:V43)</f>
        <v>0</v>
      </c>
      <c r="X43" s="29"/>
    </row>
    <row r="44" spans="1:24">
      <c r="A44" s="54"/>
      <c r="B44" s="312" t="s">
        <v>464</v>
      </c>
      <c r="C44" s="4"/>
      <c r="D44" s="4"/>
      <c r="E44" s="4"/>
      <c r="F44" s="52"/>
      <c r="G44" s="421">
        <v>1</v>
      </c>
      <c r="H44" s="311" t="s">
        <v>30</v>
      </c>
      <c r="I44" s="64" t="s">
        <v>27</v>
      </c>
      <c r="J44" s="429">
        <v>1</v>
      </c>
      <c r="K44" s="311" t="s">
        <v>26</v>
      </c>
      <c r="L44" s="64" t="s">
        <v>27</v>
      </c>
      <c r="M44" s="48" t="s">
        <v>28</v>
      </c>
      <c r="N44" s="47">
        <v>6500000</v>
      </c>
      <c r="O44" s="49"/>
      <c r="P44" s="49"/>
      <c r="Q44" s="49"/>
      <c r="R44" s="49"/>
      <c r="S44" s="65">
        <f t="shared" ref="S44:S47" si="4">G44*J44*N44</f>
        <v>6500000</v>
      </c>
      <c r="T44" s="49"/>
      <c r="U44" s="285"/>
      <c r="V44" s="285"/>
      <c r="W44" s="49">
        <f t="shared" si="3"/>
        <v>6500000</v>
      </c>
      <c r="X44" s="29">
        <f>SUM(W44:W49)</f>
        <v>10753000</v>
      </c>
    </row>
    <row r="45" spans="1:24">
      <c r="A45" s="54"/>
      <c r="B45" s="312" t="s">
        <v>465</v>
      </c>
      <c r="C45" s="4"/>
      <c r="D45" s="4"/>
      <c r="E45" s="4"/>
      <c r="G45" s="421">
        <v>1</v>
      </c>
      <c r="H45" s="311" t="s">
        <v>30</v>
      </c>
      <c r="I45" s="64" t="s">
        <v>27</v>
      </c>
      <c r="J45" s="429">
        <v>1</v>
      </c>
      <c r="K45" s="311" t="s">
        <v>26</v>
      </c>
      <c r="L45" s="64" t="s">
        <v>27</v>
      </c>
      <c r="M45" s="48" t="s">
        <v>28</v>
      </c>
      <c r="N45" s="47">
        <f>(174000+171000)*2</f>
        <v>690000</v>
      </c>
      <c r="O45" s="49"/>
      <c r="P45" s="49"/>
      <c r="Q45" s="49"/>
      <c r="R45" s="49"/>
      <c r="S45" s="65">
        <f t="shared" si="4"/>
        <v>690000</v>
      </c>
      <c r="T45" s="49"/>
      <c r="U45" s="285"/>
      <c r="V45" s="285"/>
      <c r="W45" s="49">
        <f t="shared" si="3"/>
        <v>690000</v>
      </c>
      <c r="X45" s="29"/>
    </row>
    <row r="46" spans="1:24">
      <c r="A46" s="54"/>
      <c r="B46" s="312" t="s">
        <v>223</v>
      </c>
      <c r="C46" s="4"/>
      <c r="D46" s="4"/>
      <c r="E46" s="4"/>
      <c r="F46" s="64"/>
      <c r="G46" s="421">
        <v>1</v>
      </c>
      <c r="H46" s="311" t="s">
        <v>30</v>
      </c>
      <c r="I46" s="64" t="s">
        <v>27</v>
      </c>
      <c r="J46" s="429">
        <v>2</v>
      </c>
      <c r="K46" s="311" t="s">
        <v>31</v>
      </c>
      <c r="L46" s="64" t="s">
        <v>27</v>
      </c>
      <c r="M46" s="48" t="s">
        <v>28</v>
      </c>
      <c r="N46" s="47">
        <v>380000</v>
      </c>
      <c r="O46" s="49"/>
      <c r="P46" s="49"/>
      <c r="Q46" s="49"/>
      <c r="R46" s="49"/>
      <c r="S46" s="65">
        <f t="shared" si="4"/>
        <v>760000</v>
      </c>
      <c r="T46" s="49"/>
      <c r="U46" s="285"/>
      <c r="V46" s="285"/>
      <c r="W46" s="49">
        <f t="shared" si="3"/>
        <v>760000</v>
      </c>
      <c r="X46" s="29"/>
    </row>
    <row r="47" spans="1:24">
      <c r="A47" s="54"/>
      <c r="B47" s="312" t="s">
        <v>628</v>
      </c>
      <c r="C47" s="4"/>
      <c r="D47" s="4"/>
      <c r="E47" s="4"/>
      <c r="F47" s="64"/>
      <c r="G47" s="421">
        <v>1</v>
      </c>
      <c r="H47" s="311" t="s">
        <v>30</v>
      </c>
      <c r="I47" s="64" t="s">
        <v>27</v>
      </c>
      <c r="J47" s="429">
        <v>3</v>
      </c>
      <c r="K47" s="311" t="s">
        <v>31</v>
      </c>
      <c r="L47" s="64" t="s">
        <v>27</v>
      </c>
      <c r="M47" s="48" t="s">
        <v>28</v>
      </c>
      <c r="N47" s="47">
        <v>680000</v>
      </c>
      <c r="O47" s="49"/>
      <c r="P47" s="49"/>
      <c r="Q47" s="49"/>
      <c r="R47" s="49"/>
      <c r="S47" s="65">
        <f t="shared" si="4"/>
        <v>2040000</v>
      </c>
      <c r="T47" s="49"/>
      <c r="U47" s="285"/>
      <c r="V47" s="285"/>
      <c r="W47" s="49">
        <f t="shared" si="3"/>
        <v>2040000</v>
      </c>
      <c r="X47" s="29"/>
    </row>
    <row r="48" spans="1:24">
      <c r="A48" s="54"/>
      <c r="B48" s="408" t="s">
        <v>186</v>
      </c>
      <c r="C48" s="10"/>
      <c r="D48" s="10"/>
      <c r="E48" s="77"/>
      <c r="F48" s="11"/>
      <c r="G48" s="115">
        <v>1</v>
      </c>
      <c r="H48" s="116" t="s">
        <v>30</v>
      </c>
      <c r="I48" s="64" t="s">
        <v>27</v>
      </c>
      <c r="J48" s="115">
        <v>1</v>
      </c>
      <c r="K48" s="116" t="s">
        <v>31</v>
      </c>
      <c r="L48" s="64" t="s">
        <v>27</v>
      </c>
      <c r="M48" s="48" t="s">
        <v>28</v>
      </c>
      <c r="N48" s="47">
        <v>563000</v>
      </c>
      <c r="O48" s="63"/>
      <c r="P48" s="63"/>
      <c r="Q48" s="63"/>
      <c r="R48" s="63"/>
      <c r="S48" s="65">
        <f>G48*J48*N48</f>
        <v>563000</v>
      </c>
      <c r="T48" s="65"/>
      <c r="U48" s="65"/>
      <c r="V48" s="381"/>
      <c r="W48" s="49">
        <f t="shared" ref="W48" si="5">SUM(O48:V48)</f>
        <v>563000</v>
      </c>
    </row>
    <row r="49" spans="1:24">
      <c r="A49" s="54"/>
      <c r="B49" s="409" t="s">
        <v>592</v>
      </c>
      <c r="C49" s="4"/>
      <c r="D49" s="4"/>
      <c r="E49" s="4"/>
      <c r="F49" s="52"/>
      <c r="G49" s="115">
        <v>1</v>
      </c>
      <c r="H49" s="116" t="s">
        <v>30</v>
      </c>
      <c r="I49" s="64" t="s">
        <v>27</v>
      </c>
      <c r="J49" s="115">
        <v>2</v>
      </c>
      <c r="K49" s="116" t="s">
        <v>31</v>
      </c>
      <c r="L49" s="64" t="s">
        <v>27</v>
      </c>
      <c r="M49" s="48" t="s">
        <v>28</v>
      </c>
      <c r="N49" s="47">
        <v>100000</v>
      </c>
      <c r="O49" s="49"/>
      <c r="P49" s="49"/>
      <c r="Q49" s="49"/>
      <c r="R49" s="49"/>
      <c r="S49" s="65">
        <f>G49*J49*N49</f>
        <v>200000</v>
      </c>
      <c r="T49" s="49"/>
      <c r="U49" s="285"/>
      <c r="V49" s="285"/>
      <c r="W49" s="49">
        <f t="shared" ref="W49" si="6">SUM(O49:V49)</f>
        <v>200000</v>
      </c>
      <c r="X49" s="29"/>
    </row>
    <row r="50" spans="1:24">
      <c r="A50" s="54"/>
      <c r="B50" s="3"/>
      <c r="C50" s="10"/>
      <c r="D50" s="10"/>
      <c r="E50" s="77"/>
      <c r="F50" s="11"/>
      <c r="G50" s="420"/>
      <c r="H50" s="449"/>
      <c r="I50" s="11"/>
      <c r="J50" s="420"/>
      <c r="K50" s="449"/>
      <c r="L50" s="436"/>
      <c r="M50" s="11"/>
      <c r="N50" s="77"/>
      <c r="O50" s="63"/>
      <c r="P50" s="63"/>
      <c r="Q50" s="63"/>
      <c r="R50" s="63"/>
      <c r="S50" s="65"/>
      <c r="T50" s="49">
        <f>N50*J50*G50</f>
        <v>0</v>
      </c>
      <c r="U50" s="65"/>
      <c r="V50" s="381"/>
      <c r="W50" s="49">
        <f t="shared" si="3"/>
        <v>0</v>
      </c>
    </row>
    <row r="51" spans="1:24">
      <c r="A51" s="54"/>
      <c r="B51" s="118" t="s">
        <v>463</v>
      </c>
      <c r="C51" s="4"/>
      <c r="D51" s="310"/>
      <c r="E51" s="4"/>
      <c r="F51" s="52"/>
      <c r="G51" s="115"/>
      <c r="H51" s="116"/>
      <c r="I51" s="64"/>
      <c r="J51" s="115"/>
      <c r="K51" s="116"/>
      <c r="L51" s="64"/>
      <c r="M51" s="48"/>
      <c r="N51" s="47"/>
      <c r="O51" s="49"/>
      <c r="P51" s="49"/>
      <c r="Q51" s="49"/>
      <c r="R51" s="49"/>
      <c r="S51" s="63"/>
      <c r="T51" s="49">
        <f>N51*J51*G51</f>
        <v>0</v>
      </c>
      <c r="U51" s="285"/>
      <c r="V51" s="285"/>
      <c r="W51" s="49">
        <f t="shared" si="3"/>
        <v>0</v>
      </c>
      <c r="X51" s="29"/>
    </row>
    <row r="52" spans="1:24">
      <c r="A52" s="54"/>
      <c r="B52" s="312" t="s">
        <v>464</v>
      </c>
      <c r="C52" s="4"/>
      <c r="D52" s="4"/>
      <c r="E52" s="4"/>
      <c r="F52" s="52"/>
      <c r="G52" s="421">
        <v>4</v>
      </c>
      <c r="H52" s="311" t="s">
        <v>30</v>
      </c>
      <c r="I52" s="64" t="s">
        <v>27</v>
      </c>
      <c r="J52" s="429">
        <v>1</v>
      </c>
      <c r="K52" s="311" t="s">
        <v>26</v>
      </c>
      <c r="L52" s="64" t="s">
        <v>27</v>
      </c>
      <c r="M52" s="48" t="s">
        <v>28</v>
      </c>
      <c r="N52" s="47">
        <v>6500000</v>
      </c>
      <c r="O52" s="49"/>
      <c r="P52" s="49"/>
      <c r="Q52" s="49"/>
      <c r="R52" s="49"/>
      <c r="S52" s="65">
        <f t="shared" ref="S52:S55" si="7">G52*J52*N52</f>
        <v>26000000</v>
      </c>
      <c r="T52" s="49"/>
      <c r="U52" s="285"/>
      <c r="V52" s="285"/>
      <c r="W52" s="49">
        <f t="shared" si="3"/>
        <v>26000000</v>
      </c>
      <c r="X52" s="29">
        <f>SUM(W52:W57)</f>
        <v>42180000</v>
      </c>
    </row>
    <row r="53" spans="1:24">
      <c r="A53" s="54"/>
      <c r="B53" s="312" t="s">
        <v>465</v>
      </c>
      <c r="C53" s="4"/>
      <c r="D53" s="4"/>
      <c r="E53" s="4"/>
      <c r="G53" s="421">
        <v>4</v>
      </c>
      <c r="H53" s="311" t="s">
        <v>30</v>
      </c>
      <c r="I53" s="64" t="s">
        <v>27</v>
      </c>
      <c r="J53" s="429">
        <v>1</v>
      </c>
      <c r="K53" s="311" t="s">
        <v>26</v>
      </c>
      <c r="L53" s="64" t="s">
        <v>27</v>
      </c>
      <c r="M53" s="48" t="s">
        <v>28</v>
      </c>
      <c r="N53" s="47">
        <f>(174000+171000)*2</f>
        <v>690000</v>
      </c>
      <c r="O53" s="49"/>
      <c r="P53" s="49"/>
      <c r="Q53" s="49"/>
      <c r="R53" s="49"/>
      <c r="S53" s="65">
        <f t="shared" si="7"/>
        <v>2760000</v>
      </c>
      <c r="T53" s="49"/>
      <c r="U53" s="285"/>
      <c r="V53" s="285"/>
      <c r="W53" s="49">
        <f t="shared" si="3"/>
        <v>2760000</v>
      </c>
      <c r="X53" s="29"/>
    </row>
    <row r="54" spans="1:24">
      <c r="A54" s="54"/>
      <c r="B54" s="312" t="s">
        <v>223</v>
      </c>
      <c r="C54" s="4"/>
      <c r="D54" s="4"/>
      <c r="E54" s="4"/>
      <c r="F54" s="64"/>
      <c r="G54" s="421">
        <v>4</v>
      </c>
      <c r="H54" s="311" t="s">
        <v>30</v>
      </c>
      <c r="I54" s="64" t="s">
        <v>27</v>
      </c>
      <c r="J54" s="429">
        <v>3</v>
      </c>
      <c r="K54" s="311" t="s">
        <v>31</v>
      </c>
      <c r="L54" s="64" t="s">
        <v>27</v>
      </c>
      <c r="M54" s="48" t="s">
        <v>28</v>
      </c>
      <c r="N54" s="47">
        <v>380000</v>
      </c>
      <c r="O54" s="49"/>
      <c r="P54" s="49"/>
      <c r="Q54" s="49"/>
      <c r="R54" s="49"/>
      <c r="S54" s="65">
        <f t="shared" si="7"/>
        <v>4560000</v>
      </c>
      <c r="T54" s="49"/>
      <c r="U54" s="285"/>
      <c r="V54" s="285"/>
      <c r="W54" s="49">
        <f t="shared" si="3"/>
        <v>4560000</v>
      </c>
      <c r="X54" s="29"/>
    </row>
    <row r="55" spans="1:24">
      <c r="A55" s="54"/>
      <c r="B55" s="312" t="s">
        <v>224</v>
      </c>
      <c r="C55" s="4"/>
      <c r="D55" s="4"/>
      <c r="E55" s="4"/>
      <c r="F55" s="64"/>
      <c r="G55" s="421">
        <v>4</v>
      </c>
      <c r="H55" s="311" t="s">
        <v>30</v>
      </c>
      <c r="I55" s="64" t="s">
        <v>27</v>
      </c>
      <c r="J55" s="429">
        <v>3</v>
      </c>
      <c r="K55" s="311" t="s">
        <v>31</v>
      </c>
      <c r="L55" s="64" t="s">
        <v>27</v>
      </c>
      <c r="M55" s="48" t="s">
        <v>28</v>
      </c>
      <c r="N55" s="47">
        <v>484000</v>
      </c>
      <c r="O55" s="49"/>
      <c r="P55" s="49"/>
      <c r="Q55" s="49"/>
      <c r="R55" s="49"/>
      <c r="S55" s="65">
        <f t="shared" si="7"/>
        <v>5808000</v>
      </c>
      <c r="T55" s="49"/>
      <c r="U55" s="285"/>
      <c r="V55" s="285"/>
      <c r="W55" s="49">
        <f t="shared" si="3"/>
        <v>5808000</v>
      </c>
      <c r="X55" s="29"/>
    </row>
    <row r="56" spans="1:24">
      <c r="A56" s="54"/>
      <c r="B56" s="408" t="s">
        <v>186</v>
      </c>
      <c r="C56" s="10"/>
      <c r="D56" s="10"/>
      <c r="E56" s="77"/>
      <c r="F56" s="11"/>
      <c r="G56" s="115">
        <v>4</v>
      </c>
      <c r="H56" s="116" t="s">
        <v>30</v>
      </c>
      <c r="I56" s="64" t="s">
        <v>27</v>
      </c>
      <c r="J56" s="115">
        <v>1</v>
      </c>
      <c r="K56" s="116" t="s">
        <v>31</v>
      </c>
      <c r="L56" s="64" t="s">
        <v>27</v>
      </c>
      <c r="M56" s="48" t="s">
        <v>28</v>
      </c>
      <c r="N56" s="47">
        <v>563000</v>
      </c>
      <c r="O56" s="63"/>
      <c r="P56" s="63"/>
      <c r="Q56" s="63"/>
      <c r="R56" s="63"/>
      <c r="S56" s="65">
        <f>G56*J56*N56</f>
        <v>2252000</v>
      </c>
      <c r="T56" s="65"/>
      <c r="U56" s="65"/>
      <c r="V56" s="381"/>
      <c r="W56" s="49">
        <f t="shared" ref="W56" si="8">SUM(O56:V56)</f>
        <v>2252000</v>
      </c>
    </row>
    <row r="57" spans="1:24">
      <c r="A57" s="54"/>
      <c r="B57" s="409" t="s">
        <v>592</v>
      </c>
      <c r="C57" s="4"/>
      <c r="D57" s="4"/>
      <c r="E57" s="4"/>
      <c r="F57" s="52"/>
      <c r="G57" s="115">
        <v>4</v>
      </c>
      <c r="H57" s="116" t="s">
        <v>30</v>
      </c>
      <c r="I57" s="64" t="s">
        <v>27</v>
      </c>
      <c r="J57" s="115">
        <v>2</v>
      </c>
      <c r="K57" s="116" t="s">
        <v>31</v>
      </c>
      <c r="L57" s="64" t="s">
        <v>27</v>
      </c>
      <c r="M57" s="48" t="s">
        <v>28</v>
      </c>
      <c r="N57" s="47">
        <v>100000</v>
      </c>
      <c r="O57" s="49"/>
      <c r="P57" s="49"/>
      <c r="Q57" s="49"/>
      <c r="R57" s="49"/>
      <c r="S57" s="65">
        <f>G57*J57*N57</f>
        <v>800000</v>
      </c>
      <c r="T57" s="49"/>
      <c r="U57" s="285"/>
      <c r="V57" s="285"/>
      <c r="W57" s="49">
        <f t="shared" ref="W57" si="9">SUM(O57:V57)</f>
        <v>800000</v>
      </c>
      <c r="X57" s="29"/>
    </row>
    <row r="58" spans="1:24">
      <c r="A58" s="54"/>
      <c r="B58" s="3"/>
      <c r="C58" s="10"/>
      <c r="D58" s="10"/>
      <c r="E58" s="77"/>
      <c r="F58" s="11"/>
      <c r="G58" s="420"/>
      <c r="H58" s="449"/>
      <c r="I58" s="11"/>
      <c r="J58" s="420"/>
      <c r="K58" s="449"/>
      <c r="L58" s="436"/>
      <c r="M58" s="11"/>
      <c r="N58" s="77"/>
      <c r="O58" s="63"/>
      <c r="P58" s="63"/>
      <c r="Q58" s="63"/>
      <c r="R58" s="63"/>
      <c r="S58" s="65"/>
      <c r="T58" s="65"/>
      <c r="U58" s="65"/>
      <c r="V58" s="381"/>
      <c r="W58" s="49">
        <f t="shared" si="3"/>
        <v>0</v>
      </c>
    </row>
    <row r="59" spans="1:24">
      <c r="A59" s="54"/>
      <c r="B59" s="43" t="s">
        <v>185</v>
      </c>
      <c r="C59" s="56"/>
      <c r="D59" s="4"/>
      <c r="E59" s="47"/>
      <c r="F59" s="4"/>
      <c r="G59" s="115"/>
      <c r="H59" s="116"/>
      <c r="I59" s="64"/>
      <c r="J59" s="115"/>
      <c r="K59" s="116"/>
      <c r="L59" s="64"/>
      <c r="M59" s="48"/>
      <c r="N59" s="47"/>
      <c r="O59" s="63"/>
      <c r="P59" s="63"/>
      <c r="Q59" s="63"/>
      <c r="R59" s="63"/>
      <c r="S59" s="49"/>
      <c r="T59" s="49"/>
      <c r="U59" s="49"/>
      <c r="V59" s="465"/>
      <c r="W59" s="49">
        <f t="shared" si="3"/>
        <v>0</v>
      </c>
    </row>
    <row r="60" spans="1:24">
      <c r="A60" s="54"/>
      <c r="B60" s="102" t="s">
        <v>410</v>
      </c>
      <c r="C60" s="56"/>
      <c r="D60" s="4"/>
      <c r="E60" s="47"/>
      <c r="F60" s="4"/>
      <c r="G60" s="115">
        <v>3</v>
      </c>
      <c r="H60" s="116" t="s">
        <v>30</v>
      </c>
      <c r="I60" s="64" t="s">
        <v>27</v>
      </c>
      <c r="J60" s="115">
        <v>1</v>
      </c>
      <c r="K60" s="116" t="s">
        <v>26</v>
      </c>
      <c r="L60" s="64" t="s">
        <v>27</v>
      </c>
      <c r="M60" s="48" t="s">
        <v>28</v>
      </c>
      <c r="N60" s="47">
        <v>110000</v>
      </c>
      <c r="O60" s="63"/>
      <c r="P60" s="63"/>
      <c r="Q60" s="63"/>
      <c r="R60" s="63"/>
      <c r="S60" s="49">
        <f>N60*G60</f>
        <v>330000</v>
      </c>
      <c r="T60" s="49"/>
      <c r="U60" s="49"/>
      <c r="V60" s="465"/>
      <c r="W60" s="49">
        <f t="shared" si="3"/>
        <v>330000</v>
      </c>
      <c r="X60" s="29">
        <f>SUM(W60:W63)</f>
        <v>30630000</v>
      </c>
    </row>
    <row r="61" spans="1:24">
      <c r="A61" s="54"/>
      <c r="B61" s="102" t="s">
        <v>411</v>
      </c>
      <c r="C61" s="56"/>
      <c r="D61" s="4"/>
      <c r="E61" s="47"/>
      <c r="F61" s="4"/>
      <c r="G61" s="115">
        <v>3</v>
      </c>
      <c r="H61" s="116" t="s">
        <v>30</v>
      </c>
      <c r="I61" s="64" t="s">
        <v>27</v>
      </c>
      <c r="J61" s="115">
        <v>1</v>
      </c>
      <c r="K61" s="116" t="s">
        <v>26</v>
      </c>
      <c r="L61" s="64" t="s">
        <v>27</v>
      </c>
      <c r="M61" s="48" t="s">
        <v>28</v>
      </c>
      <c r="N61" s="47">
        <v>1600000</v>
      </c>
      <c r="O61" s="63"/>
      <c r="P61" s="63"/>
      <c r="Q61" s="63"/>
      <c r="R61" s="63"/>
      <c r="S61" s="49">
        <f t="shared" ref="S61:S63" si="10">N61*G61</f>
        <v>4800000</v>
      </c>
      <c r="T61" s="49"/>
      <c r="U61" s="49"/>
      <c r="V61" s="465"/>
      <c r="W61" s="49">
        <f t="shared" si="3"/>
        <v>4800000</v>
      </c>
      <c r="X61" s="29">
        <f>SUM(W60:W65)</f>
        <v>63439000</v>
      </c>
    </row>
    <row r="62" spans="1:24">
      <c r="A62" s="54"/>
      <c r="B62" s="102" t="s">
        <v>412</v>
      </c>
      <c r="C62" s="56"/>
      <c r="D62" s="4"/>
      <c r="E62" s="47"/>
      <c r="F62" s="4"/>
      <c r="G62" s="115">
        <v>33</v>
      </c>
      <c r="H62" s="116" t="s">
        <v>30</v>
      </c>
      <c r="I62" s="64" t="s">
        <v>27</v>
      </c>
      <c r="J62" s="115">
        <v>1</v>
      </c>
      <c r="K62" s="116" t="s">
        <v>26</v>
      </c>
      <c r="L62" s="64" t="s">
        <v>27</v>
      </c>
      <c r="M62" s="48" t="s">
        <v>28</v>
      </c>
      <c r="N62" s="47">
        <v>700000</v>
      </c>
      <c r="O62" s="63"/>
      <c r="P62" s="63"/>
      <c r="Q62" s="63"/>
      <c r="R62" s="63"/>
      <c r="S62" s="49">
        <f t="shared" si="10"/>
        <v>23100000</v>
      </c>
      <c r="T62" s="49"/>
      <c r="U62" s="49"/>
      <c r="V62" s="465"/>
      <c r="W62" s="49">
        <f t="shared" si="3"/>
        <v>23100000</v>
      </c>
    </row>
    <row r="63" spans="1:24">
      <c r="A63" s="54"/>
      <c r="B63" s="102" t="s">
        <v>413</v>
      </c>
      <c r="C63" s="56"/>
      <c r="D63" s="4"/>
      <c r="E63" s="47"/>
      <c r="F63" s="4"/>
      <c r="G63" s="115">
        <v>4</v>
      </c>
      <c r="H63" s="116" t="s">
        <v>30</v>
      </c>
      <c r="I63" s="64" t="s">
        <v>27</v>
      </c>
      <c r="J63" s="115">
        <v>1</v>
      </c>
      <c r="K63" s="116" t="s">
        <v>26</v>
      </c>
      <c r="L63" s="64" t="s">
        <v>27</v>
      </c>
      <c r="M63" s="48" t="s">
        <v>28</v>
      </c>
      <c r="N63" s="47">
        <v>600000</v>
      </c>
      <c r="O63" s="63"/>
      <c r="P63" s="63"/>
      <c r="Q63" s="63"/>
      <c r="R63" s="63"/>
      <c r="S63" s="49">
        <f t="shared" si="10"/>
        <v>2400000</v>
      </c>
      <c r="T63" s="49"/>
      <c r="U63" s="49"/>
      <c r="V63" s="465"/>
      <c r="W63" s="49">
        <f t="shared" si="3"/>
        <v>2400000</v>
      </c>
    </row>
    <row r="64" spans="1:24">
      <c r="A64" s="54"/>
      <c r="B64" s="408" t="s">
        <v>186</v>
      </c>
      <c r="C64" s="10"/>
      <c r="D64" s="10"/>
      <c r="E64" s="77"/>
      <c r="F64" s="11"/>
      <c r="G64" s="115">
        <v>43</v>
      </c>
      <c r="H64" s="116" t="s">
        <v>30</v>
      </c>
      <c r="I64" s="64" t="s">
        <v>27</v>
      </c>
      <c r="J64" s="115">
        <v>1</v>
      </c>
      <c r="K64" s="116" t="s">
        <v>31</v>
      </c>
      <c r="L64" s="64" t="s">
        <v>27</v>
      </c>
      <c r="M64" s="48" t="s">
        <v>28</v>
      </c>
      <c r="N64" s="47">
        <v>563000</v>
      </c>
      <c r="O64" s="63"/>
      <c r="P64" s="63"/>
      <c r="Q64" s="63"/>
      <c r="R64" s="63"/>
      <c r="S64" s="65">
        <f>G64*J64*N64</f>
        <v>24209000</v>
      </c>
      <c r="T64" s="65"/>
      <c r="U64" s="65"/>
      <c r="V64" s="381"/>
      <c r="W64" s="49">
        <f t="shared" ref="W64" si="11">SUM(O64:V64)</f>
        <v>24209000</v>
      </c>
    </row>
    <row r="65" spans="1:24">
      <c r="A65" s="54"/>
      <c r="B65" s="409" t="s">
        <v>592</v>
      </c>
      <c r="C65" s="4"/>
      <c r="D65" s="4"/>
      <c r="E65" s="4"/>
      <c r="F65" s="52"/>
      <c r="G65" s="115">
        <v>43</v>
      </c>
      <c r="H65" s="116" t="s">
        <v>30</v>
      </c>
      <c r="I65" s="64" t="s">
        <v>27</v>
      </c>
      <c r="J65" s="115">
        <v>2</v>
      </c>
      <c r="K65" s="116" t="s">
        <v>31</v>
      </c>
      <c r="L65" s="64" t="s">
        <v>27</v>
      </c>
      <c r="M65" s="48" t="s">
        <v>28</v>
      </c>
      <c r="N65" s="47">
        <v>100000</v>
      </c>
      <c r="O65" s="49"/>
      <c r="P65" s="49"/>
      <c r="Q65" s="49"/>
      <c r="R65" s="49"/>
      <c r="S65" s="65">
        <f>G65*J65*N65</f>
        <v>8600000</v>
      </c>
      <c r="T65" s="49"/>
      <c r="U65" s="285"/>
      <c r="V65" s="285"/>
      <c r="W65" s="49">
        <f t="shared" ref="W65" si="12">SUM(O65:V65)</f>
        <v>8600000</v>
      </c>
      <c r="X65" s="29"/>
    </row>
    <row r="66" spans="1:24" s="5" customFormat="1">
      <c r="A66" s="6"/>
      <c r="B66" s="97"/>
      <c r="C66" s="7"/>
      <c r="D66" s="7"/>
      <c r="E66" s="7"/>
      <c r="F66" s="7"/>
      <c r="G66" s="422"/>
      <c r="H66" s="457"/>
      <c r="I66" s="125"/>
      <c r="J66" s="91"/>
      <c r="K66" s="450"/>
      <c r="L66" s="437"/>
      <c r="M66" s="7"/>
      <c r="N66" s="7"/>
      <c r="O66" s="8"/>
      <c r="P66" s="8"/>
      <c r="Q66" s="8"/>
      <c r="R66" s="8"/>
      <c r="S66" s="9"/>
      <c r="T66" s="9"/>
      <c r="U66" s="9"/>
      <c r="V66" s="468"/>
      <c r="W66" s="49">
        <f t="shared" si="3"/>
        <v>0</v>
      </c>
      <c r="X66" s="323"/>
    </row>
    <row r="67" spans="1:24">
      <c r="A67" s="54" t="s">
        <v>55</v>
      </c>
      <c r="B67" s="46" t="s">
        <v>197</v>
      </c>
      <c r="C67" s="4"/>
      <c r="D67" s="4"/>
      <c r="E67" s="4"/>
      <c r="F67" s="52"/>
      <c r="G67" s="115"/>
      <c r="H67" s="116"/>
      <c r="I67" s="64"/>
      <c r="J67" s="115"/>
      <c r="K67" s="116"/>
      <c r="L67" s="64"/>
      <c r="M67" s="48"/>
      <c r="N67" s="47"/>
      <c r="O67" s="63"/>
      <c r="P67" s="63"/>
      <c r="Q67" s="63"/>
      <c r="R67" s="63"/>
      <c r="S67" s="65"/>
      <c r="T67" s="65"/>
      <c r="U67" s="65"/>
      <c r="V67" s="381"/>
      <c r="W67" s="49"/>
    </row>
    <row r="68" spans="1:24">
      <c r="A68" s="54"/>
      <c r="B68" s="3" t="s">
        <v>42</v>
      </c>
      <c r="C68" s="10"/>
      <c r="D68" s="10"/>
      <c r="E68" s="77"/>
      <c r="F68" s="11"/>
      <c r="G68" s="420"/>
      <c r="H68" s="449"/>
      <c r="I68" s="11"/>
      <c r="J68" s="420"/>
      <c r="K68" s="449"/>
      <c r="L68" s="436"/>
      <c r="M68" s="11"/>
      <c r="N68" s="77"/>
      <c r="O68" s="63"/>
      <c r="P68" s="63"/>
      <c r="Q68" s="63"/>
      <c r="R68" s="63"/>
      <c r="S68" s="65"/>
      <c r="T68" s="65"/>
      <c r="U68" s="65"/>
      <c r="V68" s="381"/>
      <c r="W68" s="49">
        <f>SUM(O68:V68)</f>
        <v>0</v>
      </c>
    </row>
    <row r="69" spans="1:24">
      <c r="A69" s="54"/>
      <c r="B69" s="371" t="s">
        <v>197</v>
      </c>
      <c r="C69" s="10"/>
      <c r="D69" s="10"/>
      <c r="E69" s="77"/>
      <c r="F69" s="11"/>
      <c r="G69" s="420"/>
      <c r="H69" s="449"/>
      <c r="I69" s="11"/>
      <c r="J69" s="115">
        <v>1</v>
      </c>
      <c r="K69" s="116" t="s">
        <v>26</v>
      </c>
      <c r="L69" s="64" t="s">
        <v>27</v>
      </c>
      <c r="M69" s="48" t="s">
        <v>28</v>
      </c>
      <c r="N69" s="47">
        <v>200000</v>
      </c>
      <c r="O69" s="63">
        <f>N69*J69</f>
        <v>200000</v>
      </c>
      <c r="P69" s="63"/>
      <c r="Q69" s="63"/>
      <c r="R69" s="63"/>
      <c r="S69" s="65"/>
      <c r="T69" s="65"/>
      <c r="U69" s="65"/>
      <c r="V69" s="381"/>
      <c r="W69" s="49">
        <f>SUM(O69:V69)</f>
        <v>200000</v>
      </c>
    </row>
    <row r="70" spans="1:24">
      <c r="A70" s="54"/>
      <c r="B70" s="371"/>
      <c r="C70" s="10"/>
      <c r="D70" s="10"/>
      <c r="E70" s="77"/>
      <c r="F70" s="11"/>
      <c r="G70" s="115"/>
      <c r="H70" s="116"/>
      <c r="I70" s="64"/>
      <c r="J70" s="115"/>
      <c r="K70" s="116"/>
      <c r="L70" s="64"/>
      <c r="M70" s="48"/>
      <c r="N70" s="47"/>
      <c r="O70" s="63"/>
      <c r="P70" s="63"/>
      <c r="Q70" s="63"/>
      <c r="R70" s="63"/>
      <c r="S70" s="65"/>
      <c r="T70" s="65"/>
      <c r="U70" s="65"/>
      <c r="V70" s="381"/>
      <c r="W70" s="49"/>
    </row>
    <row r="71" spans="1:24" s="169" customFormat="1">
      <c r="A71" s="165" t="s">
        <v>196</v>
      </c>
      <c r="B71" s="166" t="s">
        <v>168</v>
      </c>
      <c r="C71" s="157"/>
      <c r="D71" s="157"/>
      <c r="E71" s="157"/>
      <c r="F71" s="158"/>
      <c r="G71" s="423"/>
      <c r="H71" s="451"/>
      <c r="I71" s="161"/>
      <c r="J71" s="423"/>
      <c r="K71" s="451"/>
      <c r="L71" s="161"/>
      <c r="M71" s="160"/>
      <c r="N71" s="159"/>
      <c r="O71" s="167"/>
      <c r="P71" s="167"/>
      <c r="Q71" s="167"/>
      <c r="R71" s="167"/>
      <c r="S71" s="163"/>
      <c r="T71" s="163"/>
      <c r="U71" s="163"/>
      <c r="V71" s="469"/>
      <c r="W71" s="49">
        <f>SUM(O71:V71)</f>
        <v>0</v>
      </c>
      <c r="X71" s="173">
        <f>SUM(W75:W132)</f>
        <v>204733000</v>
      </c>
    </row>
    <row r="72" spans="1:24" s="169" customFormat="1">
      <c r="A72" s="165"/>
      <c r="B72" s="166"/>
      <c r="C72" s="157"/>
      <c r="D72" s="157"/>
      <c r="E72" s="157"/>
      <c r="F72" s="158"/>
      <c r="G72" s="423"/>
      <c r="H72" s="451"/>
      <c r="I72" s="161"/>
      <c r="J72" s="423"/>
      <c r="K72" s="451"/>
      <c r="L72" s="161"/>
      <c r="M72" s="160"/>
      <c r="N72" s="159"/>
      <c r="O72" s="167"/>
      <c r="P72" s="167"/>
      <c r="Q72" s="167"/>
      <c r="R72" s="167"/>
      <c r="S72" s="163"/>
      <c r="T72" s="163"/>
      <c r="U72" s="163"/>
      <c r="V72" s="469"/>
      <c r="W72" s="49"/>
      <c r="X72" s="173"/>
    </row>
    <row r="73" spans="1:24" s="169" customFormat="1">
      <c r="A73" s="165" t="s">
        <v>49</v>
      </c>
      <c r="B73" s="166" t="s">
        <v>502</v>
      </c>
      <c r="C73" s="157"/>
      <c r="D73" s="157"/>
      <c r="E73" s="157"/>
      <c r="F73" s="158"/>
      <c r="G73" s="423"/>
      <c r="H73" s="451"/>
      <c r="I73" s="161"/>
      <c r="J73" s="423"/>
      <c r="K73" s="451"/>
      <c r="L73" s="161"/>
      <c r="M73" s="160"/>
      <c r="N73" s="159"/>
      <c r="O73" s="167"/>
      <c r="P73" s="167"/>
      <c r="Q73" s="167"/>
      <c r="R73" s="167"/>
      <c r="S73" s="163"/>
      <c r="T73" s="163"/>
      <c r="U73" s="163"/>
      <c r="V73" s="469"/>
      <c r="W73" s="49"/>
      <c r="X73" s="173"/>
    </row>
    <row r="74" spans="1:24">
      <c r="A74" s="54"/>
      <c r="B74" s="3" t="s">
        <v>42</v>
      </c>
      <c r="C74" s="10"/>
      <c r="D74" s="10"/>
      <c r="E74" s="77"/>
      <c r="F74" s="11"/>
      <c r="G74" s="420"/>
      <c r="H74" s="449"/>
      <c r="I74" s="11"/>
      <c r="J74" s="420"/>
      <c r="K74" s="449"/>
      <c r="L74" s="436"/>
      <c r="M74" s="11"/>
      <c r="N74" s="77"/>
      <c r="O74" s="63"/>
      <c r="P74" s="63"/>
      <c r="Q74" s="63"/>
      <c r="R74" s="63"/>
      <c r="S74" s="65"/>
      <c r="T74" s="65"/>
      <c r="U74" s="65"/>
      <c r="V74" s="381"/>
      <c r="W74" s="49">
        <f>SUM(O74:V74)</f>
        <v>0</v>
      </c>
    </row>
    <row r="75" spans="1:24">
      <c r="A75" s="54"/>
      <c r="B75" s="382" t="s">
        <v>518</v>
      </c>
      <c r="C75" s="10"/>
      <c r="D75" s="10"/>
      <c r="E75" s="77"/>
      <c r="F75" s="11"/>
      <c r="G75" s="115">
        <v>50</v>
      </c>
      <c r="H75" s="116" t="s">
        <v>72</v>
      </c>
      <c r="I75" s="64" t="s">
        <v>27</v>
      </c>
      <c r="J75" s="115">
        <v>1</v>
      </c>
      <c r="K75" s="116" t="s">
        <v>200</v>
      </c>
      <c r="L75" s="64" t="s">
        <v>27</v>
      </c>
      <c r="M75" s="48" t="s">
        <v>28</v>
      </c>
      <c r="N75" s="47">
        <v>300</v>
      </c>
      <c r="O75" s="63">
        <f>N75*J75*G75</f>
        <v>15000</v>
      </c>
      <c r="P75" s="63"/>
      <c r="Q75" s="63"/>
      <c r="R75" s="63"/>
      <c r="S75" s="65"/>
      <c r="T75" s="65"/>
      <c r="U75" s="65"/>
      <c r="V75" s="381"/>
      <c r="W75" s="49">
        <f>SUM(O75:V75)</f>
        <v>15000</v>
      </c>
    </row>
    <row r="76" spans="1:24" s="169" customFormat="1">
      <c r="A76" s="165"/>
      <c r="B76" s="166"/>
      <c r="C76" s="157"/>
      <c r="D76" s="157"/>
      <c r="E76" s="157"/>
      <c r="F76" s="158"/>
      <c r="G76" s="423"/>
      <c r="H76" s="451"/>
      <c r="I76" s="161"/>
      <c r="J76" s="423"/>
      <c r="K76" s="451"/>
      <c r="L76" s="161"/>
      <c r="M76" s="160"/>
      <c r="N76" s="159"/>
      <c r="O76" s="167"/>
      <c r="P76" s="167"/>
      <c r="Q76" s="167"/>
      <c r="R76" s="167"/>
      <c r="S76" s="163"/>
      <c r="T76" s="163"/>
      <c r="U76" s="163"/>
      <c r="V76" s="469"/>
      <c r="W76" s="49"/>
      <c r="X76" s="173"/>
    </row>
    <row r="77" spans="1:24" s="169" customFormat="1">
      <c r="A77" s="165"/>
      <c r="B77" s="205" t="s">
        <v>60</v>
      </c>
      <c r="C77" s="157"/>
      <c r="D77" s="157"/>
      <c r="E77" s="157"/>
      <c r="F77" s="158"/>
      <c r="G77" s="423"/>
      <c r="H77" s="451"/>
      <c r="I77" s="161"/>
      <c r="J77" s="423"/>
      <c r="K77" s="451"/>
      <c r="L77" s="161"/>
      <c r="M77" s="160"/>
      <c r="N77" s="159"/>
      <c r="O77" s="167"/>
      <c r="P77" s="167"/>
      <c r="Q77" s="167"/>
      <c r="R77" s="167"/>
      <c r="S77" s="163"/>
      <c r="T77" s="163"/>
      <c r="U77" s="163"/>
      <c r="V77" s="469"/>
      <c r="W77" s="49"/>
    </row>
    <row r="78" spans="1:24" s="169" customFormat="1">
      <c r="A78" s="165"/>
      <c r="B78" s="156" t="s">
        <v>198</v>
      </c>
      <c r="C78" s="157"/>
      <c r="D78" s="157"/>
      <c r="E78" s="157"/>
      <c r="F78" s="158"/>
      <c r="G78" s="115">
        <v>2</v>
      </c>
      <c r="H78" s="116" t="s">
        <v>31</v>
      </c>
      <c r="I78" s="64" t="s">
        <v>27</v>
      </c>
      <c r="J78" s="115">
        <v>7</v>
      </c>
      <c r="K78" s="116" t="s">
        <v>227</v>
      </c>
      <c r="L78" s="64" t="s">
        <v>27</v>
      </c>
      <c r="M78" s="48" t="s">
        <v>28</v>
      </c>
      <c r="N78" s="47">
        <v>820000</v>
      </c>
      <c r="O78" s="167"/>
      <c r="P78" s="167"/>
      <c r="Q78" s="167"/>
      <c r="R78" s="167"/>
      <c r="S78" s="163"/>
      <c r="T78" s="163">
        <f>G78*J78*N78</f>
        <v>11480000</v>
      </c>
      <c r="U78" s="163"/>
      <c r="V78" s="469"/>
      <c r="W78" s="49">
        <f t="shared" ref="W78" si="13">SUM(O78:V78)</f>
        <v>11480000</v>
      </c>
      <c r="X78" s="173"/>
    </row>
    <row r="79" spans="1:24" s="169" customFormat="1">
      <c r="A79" s="165"/>
      <c r="B79" s="156" t="s">
        <v>460</v>
      </c>
      <c r="C79" s="157"/>
      <c r="D79" s="157"/>
      <c r="E79" s="157"/>
      <c r="F79" s="158"/>
      <c r="G79" s="115">
        <v>2</v>
      </c>
      <c r="H79" s="116" t="s">
        <v>31</v>
      </c>
      <c r="I79" s="64" t="s">
        <v>27</v>
      </c>
      <c r="J79" s="115">
        <v>1</v>
      </c>
      <c r="K79" s="116" t="s">
        <v>47</v>
      </c>
      <c r="L79" s="64" t="s">
        <v>27</v>
      </c>
      <c r="M79" s="48" t="s">
        <v>28</v>
      </c>
      <c r="N79" s="47">
        <v>7000000</v>
      </c>
      <c r="O79" s="167"/>
      <c r="P79" s="167"/>
      <c r="Q79" s="167"/>
      <c r="R79" s="167"/>
      <c r="S79" s="163"/>
      <c r="T79" s="163">
        <f>G79*J79*N79</f>
        <v>14000000</v>
      </c>
      <c r="U79" s="163"/>
      <c r="V79" s="469"/>
      <c r="W79" s="49">
        <f>SUM(O79:V79)</f>
        <v>14000000</v>
      </c>
      <c r="X79" s="173"/>
    </row>
    <row r="80" spans="1:24" s="169" customFormat="1">
      <c r="A80" s="165"/>
      <c r="B80" s="166"/>
      <c r="C80" s="157"/>
      <c r="D80" s="157"/>
      <c r="E80" s="157"/>
      <c r="F80" s="158"/>
      <c r="G80" s="423"/>
      <c r="H80" s="451"/>
      <c r="I80" s="161"/>
      <c r="J80" s="423"/>
      <c r="K80" s="451"/>
      <c r="L80" s="161"/>
      <c r="M80" s="160"/>
      <c r="N80" s="159"/>
      <c r="O80" s="167"/>
      <c r="P80" s="167"/>
      <c r="Q80" s="167"/>
      <c r="R80" s="167"/>
      <c r="S80" s="163"/>
      <c r="T80" s="163"/>
      <c r="U80" s="163"/>
      <c r="V80" s="469"/>
      <c r="W80" s="49"/>
      <c r="X80" s="173"/>
    </row>
    <row r="81" spans="1:24" s="169" customFormat="1">
      <c r="A81" s="165"/>
      <c r="B81" s="166" t="s">
        <v>172</v>
      </c>
      <c r="C81" s="157"/>
      <c r="D81" s="157"/>
      <c r="E81" s="157"/>
      <c r="F81" s="158"/>
      <c r="G81" s="423"/>
      <c r="H81" s="451"/>
      <c r="I81" s="161"/>
      <c r="J81" s="423"/>
      <c r="K81" s="451"/>
      <c r="L81" s="161"/>
      <c r="M81" s="160"/>
      <c r="N81" s="159"/>
      <c r="O81" s="167"/>
      <c r="P81" s="167"/>
      <c r="Q81" s="167"/>
      <c r="R81" s="167"/>
      <c r="S81" s="163"/>
      <c r="T81" s="163"/>
      <c r="U81" s="163"/>
      <c r="V81" s="469"/>
      <c r="W81" s="49">
        <f>SUM(O81:V81)</f>
        <v>0</v>
      </c>
      <c r="X81" s="169">
        <f>SUM(W83:W129)</f>
        <v>178438000</v>
      </c>
    </row>
    <row r="82" spans="1:24" s="169" customFormat="1">
      <c r="A82" s="165" t="s">
        <v>519</v>
      </c>
      <c r="B82" s="166" t="s">
        <v>414</v>
      </c>
      <c r="C82" s="157"/>
      <c r="D82" s="157"/>
      <c r="E82" s="157"/>
      <c r="F82" s="158"/>
      <c r="G82" s="423"/>
      <c r="H82" s="451"/>
      <c r="I82" s="161"/>
      <c r="J82" s="423"/>
      <c r="K82" s="451"/>
      <c r="L82" s="161"/>
      <c r="M82" s="160"/>
      <c r="N82" s="170"/>
      <c r="O82" s="167"/>
      <c r="P82" s="167"/>
      <c r="Q82" s="167"/>
      <c r="R82" s="167"/>
      <c r="S82" s="163">
        <f>N82*J82</f>
        <v>0</v>
      </c>
      <c r="T82" s="163"/>
      <c r="U82" s="163"/>
      <c r="V82" s="469"/>
      <c r="W82" s="49">
        <f>SUM(O82:V82)</f>
        <v>0</v>
      </c>
    </row>
    <row r="83" spans="1:24" s="169" customFormat="1">
      <c r="A83" s="165"/>
      <c r="B83" s="156" t="s">
        <v>456</v>
      </c>
      <c r="C83" s="157"/>
      <c r="D83" s="157"/>
      <c r="E83" s="157"/>
      <c r="F83" s="158"/>
      <c r="G83" s="115">
        <v>2</v>
      </c>
      <c r="H83" s="116" t="s">
        <v>30</v>
      </c>
      <c r="I83" s="64" t="s">
        <v>27</v>
      </c>
      <c r="J83" s="115">
        <v>1</v>
      </c>
      <c r="K83" s="116" t="s">
        <v>200</v>
      </c>
      <c r="L83" s="64" t="s">
        <v>27</v>
      </c>
      <c r="M83" s="48" t="s">
        <v>28</v>
      </c>
      <c r="N83" s="47">
        <v>7000000</v>
      </c>
      <c r="O83" s="167"/>
      <c r="P83" s="167"/>
      <c r="Q83" s="163">
        <f t="shared" ref="Q83:Q93" si="14">G83*J83*N83</f>
        <v>14000000</v>
      </c>
      <c r="R83" s="163"/>
      <c r="S83" s="163"/>
      <c r="T83" s="163"/>
      <c r="U83" s="163"/>
      <c r="V83" s="469"/>
      <c r="W83" s="49">
        <f>SUM(O83:V83)</f>
        <v>14000000</v>
      </c>
      <c r="X83" s="169">
        <f>SUM(W83:W87)</f>
        <v>27914000</v>
      </c>
    </row>
    <row r="84" spans="1:24" s="169" customFormat="1">
      <c r="A84" s="165"/>
      <c r="B84" s="156" t="s">
        <v>526</v>
      </c>
      <c r="C84" s="157"/>
      <c r="D84" s="157"/>
      <c r="E84" s="157"/>
      <c r="F84" s="158"/>
      <c r="G84" s="115">
        <v>2</v>
      </c>
      <c r="H84" s="116" t="s">
        <v>30</v>
      </c>
      <c r="I84" s="64" t="s">
        <v>27</v>
      </c>
      <c r="J84" s="115">
        <v>1</v>
      </c>
      <c r="K84" s="116" t="s">
        <v>200</v>
      </c>
      <c r="L84" s="64" t="s">
        <v>27</v>
      </c>
      <c r="M84" s="48" t="s">
        <v>28</v>
      </c>
      <c r="N84" s="47">
        <f>16000+40000+25000+40000</f>
        <v>121000</v>
      </c>
      <c r="O84" s="167"/>
      <c r="P84" s="167"/>
      <c r="Q84" s="163">
        <f t="shared" si="14"/>
        <v>242000</v>
      </c>
      <c r="R84" s="163"/>
      <c r="S84" s="163"/>
      <c r="T84" s="163"/>
      <c r="U84" s="163"/>
      <c r="V84" s="469"/>
      <c r="W84" s="49">
        <f t="shared" ref="W84" si="15">SUM(O84:V84)</f>
        <v>242000</v>
      </c>
    </row>
    <row r="85" spans="1:24" s="169" customFormat="1">
      <c r="A85" s="165"/>
      <c r="B85" s="156" t="s">
        <v>259</v>
      </c>
      <c r="C85" s="157"/>
      <c r="D85" s="157"/>
      <c r="E85" s="157"/>
      <c r="F85" s="158"/>
      <c r="G85" s="115">
        <v>2</v>
      </c>
      <c r="H85" s="116" t="s">
        <v>30</v>
      </c>
      <c r="I85" s="64" t="s">
        <v>27</v>
      </c>
      <c r="J85" s="115">
        <v>1</v>
      </c>
      <c r="K85" s="116" t="s">
        <v>200</v>
      </c>
      <c r="L85" s="64" t="s">
        <v>27</v>
      </c>
      <c r="M85" s="48" t="s">
        <v>28</v>
      </c>
      <c r="N85" s="47">
        <f>(174000+354000)*2</f>
        <v>1056000</v>
      </c>
      <c r="O85" s="167"/>
      <c r="P85" s="167"/>
      <c r="Q85" s="163">
        <f t="shared" si="14"/>
        <v>2112000</v>
      </c>
      <c r="R85" s="163"/>
      <c r="S85" s="163"/>
      <c r="T85" s="163"/>
      <c r="U85" s="163"/>
      <c r="V85" s="469"/>
      <c r="W85" s="49">
        <f>SUM(O85:V85)</f>
        <v>2112000</v>
      </c>
    </row>
    <row r="86" spans="1:24" s="169" customFormat="1">
      <c r="A86" s="165"/>
      <c r="B86" s="156" t="s">
        <v>113</v>
      </c>
      <c r="C86" s="157"/>
      <c r="D86" s="157"/>
      <c r="E86" s="157"/>
      <c r="F86" s="158"/>
      <c r="G86" s="115">
        <v>2</v>
      </c>
      <c r="H86" s="116" t="s">
        <v>30</v>
      </c>
      <c r="I86" s="64" t="s">
        <v>27</v>
      </c>
      <c r="J86" s="115">
        <v>6</v>
      </c>
      <c r="K86" s="116" t="s">
        <v>31</v>
      </c>
      <c r="L86" s="64" t="s">
        <v>27</v>
      </c>
      <c r="M86" s="48" t="s">
        <v>28</v>
      </c>
      <c r="N86" s="47">
        <v>580000</v>
      </c>
      <c r="O86" s="167"/>
      <c r="P86" s="167"/>
      <c r="Q86" s="163">
        <f t="shared" si="14"/>
        <v>6960000</v>
      </c>
      <c r="R86" s="163"/>
      <c r="S86" s="163"/>
      <c r="T86" s="163"/>
      <c r="U86" s="163"/>
      <c r="V86" s="469"/>
      <c r="W86" s="49">
        <f t="shared" ref="W86:W129" si="16">SUM(O86:V86)</f>
        <v>6960000</v>
      </c>
    </row>
    <row r="87" spans="1:24" s="169" customFormat="1">
      <c r="A87" s="165"/>
      <c r="B87" s="156" t="s">
        <v>199</v>
      </c>
      <c r="C87" s="157"/>
      <c r="D87" s="157"/>
      <c r="E87" s="157"/>
      <c r="F87" s="158"/>
      <c r="G87" s="115">
        <v>2</v>
      </c>
      <c r="H87" s="116" t="s">
        <v>30</v>
      </c>
      <c r="I87" s="64" t="s">
        <v>27</v>
      </c>
      <c r="J87" s="115">
        <v>5</v>
      </c>
      <c r="K87" s="116" t="s">
        <v>31</v>
      </c>
      <c r="L87" s="64" t="s">
        <v>27</v>
      </c>
      <c r="M87" s="48" t="s">
        <v>28</v>
      </c>
      <c r="N87" s="47">
        <v>460000</v>
      </c>
      <c r="O87" s="167"/>
      <c r="P87" s="167"/>
      <c r="Q87" s="163">
        <f t="shared" si="14"/>
        <v>4600000</v>
      </c>
      <c r="R87" s="163"/>
      <c r="S87" s="163"/>
      <c r="T87" s="163"/>
      <c r="U87" s="163"/>
      <c r="V87" s="469"/>
      <c r="W87" s="49">
        <f t="shared" si="16"/>
        <v>4600000</v>
      </c>
    </row>
    <row r="88" spans="1:24">
      <c r="A88" s="54"/>
      <c r="B88" s="43"/>
      <c r="C88" s="4"/>
      <c r="D88" s="4"/>
      <c r="E88" s="4"/>
      <c r="F88" s="52"/>
      <c r="G88" s="115"/>
      <c r="H88" s="116"/>
      <c r="I88" s="64"/>
      <c r="J88" s="115"/>
      <c r="K88" s="116"/>
      <c r="L88" s="64"/>
      <c r="M88" s="48"/>
      <c r="N88" s="47"/>
      <c r="O88" s="63"/>
      <c r="P88" s="63"/>
      <c r="Q88" s="163">
        <f t="shared" si="14"/>
        <v>0</v>
      </c>
      <c r="R88" s="163"/>
      <c r="S88" s="65"/>
      <c r="T88" s="65"/>
      <c r="U88" s="65"/>
      <c r="V88" s="381"/>
      <c r="W88" s="49">
        <f t="shared" si="16"/>
        <v>0</v>
      </c>
      <c r="X88" s="29"/>
    </row>
    <row r="89" spans="1:24" s="169" customFormat="1">
      <c r="A89" s="165" t="s">
        <v>520</v>
      </c>
      <c r="B89" s="166" t="s">
        <v>201</v>
      </c>
      <c r="C89" s="157"/>
      <c r="D89" s="157"/>
      <c r="E89" s="157"/>
      <c r="F89" s="158"/>
      <c r="G89" s="423"/>
      <c r="H89" s="451"/>
      <c r="I89" s="161"/>
      <c r="J89" s="423"/>
      <c r="K89" s="451"/>
      <c r="L89" s="161"/>
      <c r="M89" s="160"/>
      <c r="N89" s="170"/>
      <c r="O89" s="167"/>
      <c r="P89" s="167"/>
      <c r="Q89" s="163">
        <f t="shared" si="14"/>
        <v>0</v>
      </c>
      <c r="R89" s="163"/>
      <c r="S89" s="163"/>
      <c r="T89" s="163"/>
      <c r="U89" s="163"/>
      <c r="V89" s="469"/>
      <c r="W89" s="49">
        <f t="shared" ref="W89:W93" si="17">SUM(O89:V89)</f>
        <v>0</v>
      </c>
    </row>
    <row r="90" spans="1:24" s="169" customFormat="1">
      <c r="A90" s="165"/>
      <c r="B90" s="156" t="s">
        <v>457</v>
      </c>
      <c r="C90" s="157"/>
      <c r="D90" s="157"/>
      <c r="E90" s="157"/>
      <c r="F90" s="158"/>
      <c r="G90" s="115">
        <v>2</v>
      </c>
      <c r="H90" s="116" t="s">
        <v>30</v>
      </c>
      <c r="I90" s="64" t="s">
        <v>27</v>
      </c>
      <c r="J90" s="115">
        <v>1</v>
      </c>
      <c r="K90" s="116" t="s">
        <v>200</v>
      </c>
      <c r="L90" s="64" t="s">
        <v>27</v>
      </c>
      <c r="M90" s="48" t="s">
        <v>28</v>
      </c>
      <c r="N90" s="47">
        <v>7500000</v>
      </c>
      <c r="O90" s="167"/>
      <c r="P90" s="167"/>
      <c r="Q90" s="163">
        <f t="shared" si="14"/>
        <v>15000000</v>
      </c>
      <c r="R90" s="163"/>
      <c r="S90" s="163"/>
      <c r="T90" s="163"/>
      <c r="U90" s="163"/>
      <c r="V90" s="469"/>
      <c r="W90" s="49">
        <f t="shared" si="17"/>
        <v>15000000</v>
      </c>
      <c r="X90" s="169">
        <f>SUM(W90:W94)</f>
        <v>28672000</v>
      </c>
    </row>
    <row r="91" spans="1:24" s="169" customFormat="1">
      <c r="A91" s="165"/>
      <c r="B91" s="156" t="s">
        <v>259</v>
      </c>
      <c r="C91" s="157"/>
      <c r="D91" s="157"/>
      <c r="E91" s="157"/>
      <c r="F91" s="158"/>
      <c r="G91" s="115">
        <v>2</v>
      </c>
      <c r="H91" s="116" t="s">
        <v>30</v>
      </c>
      <c r="I91" s="64" t="s">
        <v>27</v>
      </c>
      <c r="J91" s="115">
        <v>1</v>
      </c>
      <c r="K91" s="116" t="s">
        <v>200</v>
      </c>
      <c r="L91" s="64" t="s">
        <v>27</v>
      </c>
      <c r="M91" s="48" t="s">
        <v>28</v>
      </c>
      <c r="N91" s="47">
        <f>(174000+354000)*2</f>
        <v>1056000</v>
      </c>
      <c r="O91" s="167"/>
      <c r="P91" s="167"/>
      <c r="Q91" s="163">
        <f t="shared" si="14"/>
        <v>2112000</v>
      </c>
      <c r="R91" s="163"/>
      <c r="S91" s="163"/>
      <c r="T91" s="163"/>
      <c r="U91" s="163"/>
      <c r="V91" s="469"/>
      <c r="W91" s="49">
        <f t="shared" si="17"/>
        <v>2112000</v>
      </c>
    </row>
    <row r="92" spans="1:24" s="169" customFormat="1">
      <c r="A92" s="165"/>
      <c r="B92" s="156" t="s">
        <v>113</v>
      </c>
      <c r="C92" s="157"/>
      <c r="D92" s="157"/>
      <c r="E92" s="157"/>
      <c r="F92" s="158"/>
      <c r="G92" s="115">
        <v>2</v>
      </c>
      <c r="H92" s="116" t="s">
        <v>30</v>
      </c>
      <c r="I92" s="64" t="s">
        <v>27</v>
      </c>
      <c r="J92" s="115">
        <v>6</v>
      </c>
      <c r="K92" s="116" t="s">
        <v>31</v>
      </c>
      <c r="L92" s="64" t="s">
        <v>27</v>
      </c>
      <c r="M92" s="48" t="s">
        <v>28</v>
      </c>
      <c r="N92" s="47">
        <v>580000</v>
      </c>
      <c r="O92" s="167"/>
      <c r="P92" s="167"/>
      <c r="Q92" s="163">
        <f t="shared" si="14"/>
        <v>6960000</v>
      </c>
      <c r="R92" s="163"/>
      <c r="S92" s="163"/>
      <c r="T92" s="163"/>
      <c r="U92" s="163"/>
      <c r="V92" s="469"/>
      <c r="W92" s="49">
        <f t="shared" si="17"/>
        <v>6960000</v>
      </c>
    </row>
    <row r="93" spans="1:24" s="169" customFormat="1">
      <c r="A93" s="165"/>
      <c r="B93" s="156" t="s">
        <v>199</v>
      </c>
      <c r="C93" s="157"/>
      <c r="D93" s="157"/>
      <c r="E93" s="157"/>
      <c r="F93" s="158"/>
      <c r="G93" s="115">
        <v>2</v>
      </c>
      <c r="H93" s="116" t="s">
        <v>30</v>
      </c>
      <c r="I93" s="64" t="s">
        <v>27</v>
      </c>
      <c r="J93" s="115">
        <v>5</v>
      </c>
      <c r="K93" s="116" t="s">
        <v>31</v>
      </c>
      <c r="L93" s="64" t="s">
        <v>27</v>
      </c>
      <c r="M93" s="48" t="s">
        <v>28</v>
      </c>
      <c r="N93" s="47">
        <v>460000</v>
      </c>
      <c r="O93" s="167"/>
      <c r="P93" s="167"/>
      <c r="Q93" s="163">
        <f t="shared" si="14"/>
        <v>4600000</v>
      </c>
      <c r="R93" s="163"/>
      <c r="S93" s="163"/>
      <c r="T93" s="163"/>
      <c r="U93" s="163"/>
      <c r="V93" s="469"/>
      <c r="W93" s="49">
        <f t="shared" si="17"/>
        <v>4600000</v>
      </c>
    </row>
    <row r="94" spans="1:24">
      <c r="A94" s="54"/>
      <c r="B94" s="285"/>
      <c r="C94" s="47"/>
      <c r="D94" s="47"/>
      <c r="E94" s="47"/>
      <c r="F94" s="48"/>
      <c r="G94" s="115"/>
      <c r="H94" s="116"/>
      <c r="I94" s="48"/>
      <c r="J94" s="115"/>
      <c r="K94" s="116"/>
      <c r="L94" s="64"/>
      <c r="M94" s="48"/>
      <c r="N94" s="47"/>
      <c r="O94" s="49"/>
      <c r="P94" s="49"/>
      <c r="Q94" s="49"/>
      <c r="R94" s="49"/>
      <c r="S94" s="49"/>
      <c r="T94" s="49"/>
      <c r="U94" s="49"/>
      <c r="V94" s="49"/>
      <c r="W94" s="465"/>
      <c r="X94" s="29"/>
    </row>
    <row r="95" spans="1:24" s="169" customFormat="1">
      <c r="A95" s="165" t="s">
        <v>521</v>
      </c>
      <c r="B95" s="166" t="s">
        <v>415</v>
      </c>
      <c r="C95" s="4"/>
      <c r="D95" s="4"/>
      <c r="E95" s="4"/>
      <c r="F95" s="52"/>
      <c r="G95" s="115"/>
      <c r="H95" s="116"/>
      <c r="I95" s="64"/>
      <c r="J95" s="115"/>
      <c r="K95" s="116"/>
      <c r="L95" s="64"/>
      <c r="M95" s="48"/>
      <c r="N95" s="47"/>
      <c r="O95" s="63"/>
      <c r="P95" s="63"/>
      <c r="Q95" s="163">
        <f t="shared" ref="Q95:Q100" si="18">G95*J95*N95</f>
        <v>0</v>
      </c>
      <c r="R95" s="163"/>
      <c r="S95" s="65"/>
      <c r="T95" s="65"/>
      <c r="U95" s="65"/>
      <c r="V95" s="381"/>
      <c r="W95" s="49">
        <f>SUM(O95:V95)</f>
        <v>0</v>
      </c>
    </row>
    <row r="96" spans="1:24" s="169" customFormat="1">
      <c r="A96" s="165"/>
      <c r="B96" s="156" t="s">
        <v>458</v>
      </c>
      <c r="C96" s="4"/>
      <c r="D96" s="4"/>
      <c r="E96" s="4"/>
      <c r="F96" s="52"/>
      <c r="G96" s="115">
        <v>2</v>
      </c>
      <c r="H96" s="116" t="s">
        <v>30</v>
      </c>
      <c r="I96" s="64" t="s">
        <v>27</v>
      </c>
      <c r="J96" s="115">
        <v>1</v>
      </c>
      <c r="K96" s="116" t="s">
        <v>200</v>
      </c>
      <c r="L96" s="64" t="s">
        <v>27</v>
      </c>
      <c r="M96" s="48" t="s">
        <v>28</v>
      </c>
      <c r="N96" s="47">
        <v>7000000</v>
      </c>
      <c r="O96" s="167"/>
      <c r="P96" s="167"/>
      <c r="Q96" s="163">
        <f t="shared" si="18"/>
        <v>14000000</v>
      </c>
      <c r="R96" s="163"/>
      <c r="S96" s="163"/>
      <c r="T96" s="163"/>
      <c r="U96" s="163"/>
      <c r="V96" s="469"/>
      <c r="W96" s="49">
        <f>SUM(O96:V96)</f>
        <v>14000000</v>
      </c>
      <c r="X96" s="169">
        <f>SUM(W96:W100)</f>
        <v>23458000</v>
      </c>
    </row>
    <row r="97" spans="1:24" s="169" customFormat="1">
      <c r="A97" s="165"/>
      <c r="B97" s="156" t="s">
        <v>526</v>
      </c>
      <c r="C97" s="157"/>
      <c r="D97" s="157"/>
      <c r="E97" s="157"/>
      <c r="F97" s="158"/>
      <c r="G97" s="115">
        <v>2</v>
      </c>
      <c r="H97" s="116" t="s">
        <v>30</v>
      </c>
      <c r="I97" s="64" t="s">
        <v>27</v>
      </c>
      <c r="J97" s="115">
        <v>1</v>
      </c>
      <c r="K97" s="116" t="s">
        <v>200</v>
      </c>
      <c r="L97" s="64" t="s">
        <v>27</v>
      </c>
      <c r="M97" s="48" t="s">
        <v>28</v>
      </c>
      <c r="N97" s="47">
        <f>16000+40000+25000+40000</f>
        <v>121000</v>
      </c>
      <c r="O97" s="167"/>
      <c r="P97" s="167"/>
      <c r="Q97" s="163">
        <f t="shared" si="18"/>
        <v>242000</v>
      </c>
      <c r="R97" s="163"/>
      <c r="S97" s="163"/>
      <c r="T97" s="163"/>
      <c r="U97" s="163"/>
      <c r="V97" s="469"/>
      <c r="W97" s="49">
        <f t="shared" ref="W97" si="19">SUM(O97:V97)</f>
        <v>242000</v>
      </c>
    </row>
    <row r="98" spans="1:24" s="169" customFormat="1">
      <c r="A98" s="165"/>
      <c r="B98" s="156" t="s">
        <v>259</v>
      </c>
      <c r="C98" s="157"/>
      <c r="D98" s="157"/>
      <c r="E98" s="157"/>
      <c r="F98" s="158"/>
      <c r="G98" s="115">
        <v>2</v>
      </c>
      <c r="H98" s="116" t="s">
        <v>30</v>
      </c>
      <c r="I98" s="64" t="s">
        <v>27</v>
      </c>
      <c r="J98" s="115">
        <v>1</v>
      </c>
      <c r="K98" s="116" t="s">
        <v>200</v>
      </c>
      <c r="L98" s="64" t="s">
        <v>27</v>
      </c>
      <c r="M98" s="48" t="s">
        <v>28</v>
      </c>
      <c r="N98" s="47">
        <f>(174000+130000)*2</f>
        <v>608000</v>
      </c>
      <c r="O98" s="167"/>
      <c r="P98" s="167"/>
      <c r="Q98" s="163">
        <f t="shared" si="18"/>
        <v>1216000</v>
      </c>
      <c r="R98" s="163"/>
      <c r="S98" s="163"/>
      <c r="T98" s="163"/>
      <c r="U98" s="163"/>
      <c r="V98" s="469"/>
      <c r="W98" s="49">
        <f>SUM(O98:V98)</f>
        <v>1216000</v>
      </c>
    </row>
    <row r="99" spans="1:24" s="169" customFormat="1">
      <c r="A99" s="165"/>
      <c r="B99" s="156" t="s">
        <v>113</v>
      </c>
      <c r="C99" s="4"/>
      <c r="D99" s="4"/>
      <c r="E99" s="4"/>
      <c r="F99" s="52"/>
      <c r="G99" s="115">
        <v>2</v>
      </c>
      <c r="H99" s="116" t="s">
        <v>30</v>
      </c>
      <c r="I99" s="64" t="s">
        <v>27</v>
      </c>
      <c r="J99" s="115">
        <v>5</v>
      </c>
      <c r="K99" s="116" t="s">
        <v>31</v>
      </c>
      <c r="L99" s="64" t="s">
        <v>27</v>
      </c>
      <c r="M99" s="48" t="s">
        <v>28</v>
      </c>
      <c r="N99" s="47">
        <v>480000</v>
      </c>
      <c r="O99" s="167"/>
      <c r="P99" s="167"/>
      <c r="Q99" s="163">
        <f t="shared" si="18"/>
        <v>4800000</v>
      </c>
      <c r="R99" s="163"/>
      <c r="S99" s="163"/>
      <c r="T99" s="163"/>
      <c r="U99" s="163"/>
      <c r="V99" s="469"/>
      <c r="W99" s="49">
        <f>SUM(O99:V99)</f>
        <v>4800000</v>
      </c>
    </row>
    <row r="100" spans="1:24">
      <c r="A100" s="54"/>
      <c r="B100" s="156" t="s">
        <v>199</v>
      </c>
      <c r="C100" s="4"/>
      <c r="D100" s="4"/>
      <c r="E100" s="4"/>
      <c r="F100" s="52"/>
      <c r="G100" s="115">
        <v>2</v>
      </c>
      <c r="H100" s="116" t="s">
        <v>30</v>
      </c>
      <c r="I100" s="64" t="s">
        <v>27</v>
      </c>
      <c r="J100" s="115">
        <v>4</v>
      </c>
      <c r="K100" s="116" t="s">
        <v>31</v>
      </c>
      <c r="L100" s="64" t="s">
        <v>27</v>
      </c>
      <c r="M100" s="48" t="s">
        <v>28</v>
      </c>
      <c r="N100" s="47">
        <v>400000</v>
      </c>
      <c r="O100" s="167"/>
      <c r="P100" s="167"/>
      <c r="Q100" s="163">
        <f t="shared" si="18"/>
        <v>3200000</v>
      </c>
      <c r="R100" s="163"/>
      <c r="S100" s="163"/>
      <c r="T100" s="163"/>
      <c r="U100" s="163"/>
      <c r="V100" s="469"/>
      <c r="W100" s="49">
        <f>SUM(O100:V100)</f>
        <v>3200000</v>
      </c>
      <c r="X100" s="29"/>
    </row>
    <row r="101" spans="1:24">
      <c r="A101" s="54"/>
      <c r="B101" s="156"/>
      <c r="C101" s="4"/>
      <c r="D101" s="4"/>
      <c r="E101" s="4"/>
      <c r="F101" s="52"/>
      <c r="G101" s="115"/>
      <c r="H101" s="116"/>
      <c r="I101" s="64"/>
      <c r="J101" s="115"/>
      <c r="K101" s="116"/>
      <c r="L101" s="64"/>
      <c r="M101" s="48"/>
      <c r="N101" s="47"/>
      <c r="O101" s="167"/>
      <c r="P101" s="167"/>
      <c r="Q101" s="163"/>
      <c r="R101" s="163"/>
      <c r="S101" s="163"/>
      <c r="T101" s="163"/>
      <c r="U101" s="163"/>
      <c r="V101" s="469"/>
      <c r="W101" s="49"/>
      <c r="X101" s="29"/>
    </row>
    <row r="102" spans="1:24">
      <c r="A102" s="165" t="s">
        <v>522</v>
      </c>
      <c r="B102" s="166" t="s">
        <v>476</v>
      </c>
      <c r="C102" s="157"/>
      <c r="D102" s="157"/>
      <c r="E102" s="157"/>
      <c r="F102" s="158"/>
      <c r="G102" s="423"/>
      <c r="H102" s="451"/>
      <c r="I102" s="161"/>
      <c r="J102" s="423"/>
      <c r="K102" s="451"/>
      <c r="L102" s="161"/>
      <c r="M102" s="160"/>
      <c r="N102" s="170"/>
      <c r="O102" s="167"/>
      <c r="P102" s="167"/>
      <c r="Q102" s="163">
        <f t="shared" ref="Q102:Q107" si="20">G102*J102*N102</f>
        <v>0</v>
      </c>
      <c r="R102" s="163"/>
      <c r="S102" s="163"/>
      <c r="T102" s="163"/>
      <c r="U102" s="163"/>
      <c r="V102" s="469"/>
      <c r="W102" s="49">
        <f>SUM(O102:V102)</f>
        <v>0</v>
      </c>
      <c r="X102" s="29"/>
    </row>
    <row r="103" spans="1:24">
      <c r="A103" s="165"/>
      <c r="B103" s="156" t="s">
        <v>478</v>
      </c>
      <c r="C103" s="157"/>
      <c r="D103" s="157"/>
      <c r="E103" s="157"/>
      <c r="F103" s="158"/>
      <c r="G103" s="115">
        <v>2</v>
      </c>
      <c r="H103" s="116" t="s">
        <v>30</v>
      </c>
      <c r="I103" s="64" t="s">
        <v>27</v>
      </c>
      <c r="J103" s="115">
        <v>1</v>
      </c>
      <c r="K103" s="116" t="s">
        <v>200</v>
      </c>
      <c r="L103" s="64" t="s">
        <v>27</v>
      </c>
      <c r="M103" s="48" t="s">
        <v>28</v>
      </c>
      <c r="N103" s="47">
        <v>7000000</v>
      </c>
      <c r="O103" s="167"/>
      <c r="P103" s="167"/>
      <c r="Q103" s="163">
        <f t="shared" si="20"/>
        <v>14000000</v>
      </c>
      <c r="R103" s="163"/>
      <c r="S103" s="163"/>
      <c r="T103" s="163"/>
      <c r="U103" s="163"/>
      <c r="V103" s="469"/>
      <c r="W103" s="49">
        <f>SUM(O103:V103)</f>
        <v>14000000</v>
      </c>
      <c r="X103" s="169">
        <f>SUM(W103:W107)</f>
        <v>25032000</v>
      </c>
    </row>
    <row r="104" spans="1:24">
      <c r="A104" s="165"/>
      <c r="B104" s="156" t="s">
        <v>526</v>
      </c>
      <c r="C104" s="157"/>
      <c r="D104" s="157"/>
      <c r="E104" s="157"/>
      <c r="F104" s="158"/>
      <c r="G104" s="115">
        <v>2</v>
      </c>
      <c r="H104" s="116" t="s">
        <v>30</v>
      </c>
      <c r="I104" s="64" t="s">
        <v>27</v>
      </c>
      <c r="J104" s="115">
        <v>1</v>
      </c>
      <c r="K104" s="116" t="s">
        <v>200</v>
      </c>
      <c r="L104" s="64" t="s">
        <v>27</v>
      </c>
      <c r="M104" s="48" t="s">
        <v>28</v>
      </c>
      <c r="N104" s="47">
        <f>16000+40000+30000+40000</f>
        <v>126000</v>
      </c>
      <c r="O104" s="167"/>
      <c r="P104" s="167"/>
      <c r="Q104" s="163">
        <f t="shared" si="20"/>
        <v>252000</v>
      </c>
      <c r="R104" s="163"/>
      <c r="S104" s="163"/>
      <c r="T104" s="163"/>
      <c r="U104" s="163"/>
      <c r="V104" s="469"/>
      <c r="W104" s="49">
        <f t="shared" ref="W104" si="21">SUM(O104:V104)</f>
        <v>252000</v>
      </c>
    </row>
    <row r="105" spans="1:24">
      <c r="A105" s="165"/>
      <c r="B105" s="156" t="s">
        <v>259</v>
      </c>
      <c r="C105" s="157"/>
      <c r="D105" s="157"/>
      <c r="E105" s="157"/>
      <c r="F105" s="158"/>
      <c r="G105" s="115">
        <v>2</v>
      </c>
      <c r="H105" s="116" t="s">
        <v>30</v>
      </c>
      <c r="I105" s="64" t="s">
        <v>27</v>
      </c>
      <c r="J105" s="115">
        <v>1</v>
      </c>
      <c r="K105" s="116" t="s">
        <v>200</v>
      </c>
      <c r="L105" s="64" t="s">
        <v>27</v>
      </c>
      <c r="M105" s="48" t="s">
        <v>28</v>
      </c>
      <c r="N105" s="47">
        <f>(174000+171000)*2</f>
        <v>690000</v>
      </c>
      <c r="O105" s="167"/>
      <c r="P105" s="167"/>
      <c r="Q105" s="163">
        <f t="shared" si="20"/>
        <v>1380000</v>
      </c>
      <c r="R105" s="163"/>
      <c r="S105" s="163"/>
      <c r="T105" s="163"/>
      <c r="U105" s="163"/>
      <c r="V105" s="469"/>
      <c r="W105" s="49">
        <f>SUM(O105:V105)</f>
        <v>1380000</v>
      </c>
    </row>
    <row r="106" spans="1:24" s="324" customFormat="1">
      <c r="A106" s="165"/>
      <c r="B106" s="156" t="s">
        <v>113</v>
      </c>
      <c r="C106" s="157"/>
      <c r="D106" s="157"/>
      <c r="E106" s="157"/>
      <c r="F106" s="158"/>
      <c r="G106" s="115">
        <v>2</v>
      </c>
      <c r="H106" s="116" t="s">
        <v>30</v>
      </c>
      <c r="I106" s="64" t="s">
        <v>27</v>
      </c>
      <c r="J106" s="115">
        <v>6</v>
      </c>
      <c r="K106" s="116" t="s">
        <v>31</v>
      </c>
      <c r="L106" s="64" t="s">
        <v>27</v>
      </c>
      <c r="M106" s="48" t="s">
        <v>28</v>
      </c>
      <c r="N106" s="47">
        <v>380000</v>
      </c>
      <c r="O106" s="167"/>
      <c r="P106" s="167"/>
      <c r="Q106" s="163">
        <f t="shared" si="20"/>
        <v>4560000</v>
      </c>
      <c r="R106" s="163"/>
      <c r="S106" s="163"/>
      <c r="T106" s="163"/>
      <c r="U106" s="163"/>
      <c r="V106" s="469"/>
      <c r="W106" s="49">
        <f>SUM(O106:V106)</f>
        <v>4560000</v>
      </c>
      <c r="X106" s="108"/>
    </row>
    <row r="107" spans="1:24" s="324" customFormat="1">
      <c r="A107" s="165"/>
      <c r="B107" s="156" t="s">
        <v>199</v>
      </c>
      <c r="C107" s="157"/>
      <c r="D107" s="157"/>
      <c r="E107" s="157"/>
      <c r="F107" s="158"/>
      <c r="G107" s="115">
        <v>2</v>
      </c>
      <c r="H107" s="116" t="s">
        <v>30</v>
      </c>
      <c r="I107" s="64" t="s">
        <v>27</v>
      </c>
      <c r="J107" s="115">
        <v>5</v>
      </c>
      <c r="K107" s="116" t="s">
        <v>31</v>
      </c>
      <c r="L107" s="64" t="s">
        <v>27</v>
      </c>
      <c r="M107" s="48" t="s">
        <v>28</v>
      </c>
      <c r="N107" s="47">
        <v>484000</v>
      </c>
      <c r="O107" s="167"/>
      <c r="P107" s="167"/>
      <c r="Q107" s="163">
        <f t="shared" si="20"/>
        <v>4840000</v>
      </c>
      <c r="R107" s="163"/>
      <c r="S107" s="163"/>
      <c r="T107" s="163"/>
      <c r="U107" s="163"/>
      <c r="V107" s="469"/>
      <c r="W107" s="49">
        <f>SUM(O107:V107)</f>
        <v>4840000</v>
      </c>
      <c r="X107" s="108"/>
    </row>
    <row r="108" spans="1:24" s="324" customFormat="1">
      <c r="A108" s="165"/>
      <c r="B108" s="156"/>
      <c r="C108" s="157"/>
      <c r="D108" s="157"/>
      <c r="E108" s="157"/>
      <c r="F108" s="158"/>
      <c r="G108" s="115"/>
      <c r="H108" s="116"/>
      <c r="I108" s="64"/>
      <c r="J108" s="115"/>
      <c r="K108" s="116"/>
      <c r="L108" s="64"/>
      <c r="M108" s="48"/>
      <c r="N108" s="47"/>
      <c r="O108" s="167"/>
      <c r="P108" s="167"/>
      <c r="Q108" s="163"/>
      <c r="R108" s="163"/>
      <c r="S108" s="163"/>
      <c r="T108" s="163"/>
      <c r="U108" s="163"/>
      <c r="V108" s="469"/>
      <c r="W108" s="49"/>
      <c r="X108" s="108"/>
    </row>
    <row r="109" spans="1:24" s="169" customFormat="1">
      <c r="A109" s="165" t="s">
        <v>523</v>
      </c>
      <c r="B109" s="166" t="s">
        <v>416</v>
      </c>
      <c r="C109" s="157"/>
      <c r="D109" s="157"/>
      <c r="E109" s="157"/>
      <c r="F109" s="158"/>
      <c r="G109" s="423"/>
      <c r="H109" s="451"/>
      <c r="I109" s="161"/>
      <c r="J109" s="423"/>
      <c r="K109" s="451"/>
      <c r="L109" s="161"/>
      <c r="M109" s="160"/>
      <c r="N109" s="170"/>
      <c r="O109" s="167"/>
      <c r="P109" s="167"/>
      <c r="Q109" s="163">
        <f t="shared" ref="Q109:Q114" si="22">G109*J109*N109</f>
        <v>0</v>
      </c>
      <c r="R109" s="163"/>
      <c r="S109" s="163"/>
      <c r="T109" s="163"/>
      <c r="U109" s="163"/>
      <c r="V109" s="469"/>
      <c r="W109" s="49">
        <f>SUM(O109:V109)</f>
        <v>0</v>
      </c>
    </row>
    <row r="110" spans="1:24" s="169" customFormat="1">
      <c r="A110" s="165"/>
      <c r="B110" s="156" t="s">
        <v>477</v>
      </c>
      <c r="C110" s="157"/>
      <c r="D110" s="157"/>
      <c r="E110" s="157"/>
      <c r="F110" s="158"/>
      <c r="G110" s="115">
        <v>2</v>
      </c>
      <c r="H110" s="116" t="s">
        <v>30</v>
      </c>
      <c r="I110" s="64" t="s">
        <v>27</v>
      </c>
      <c r="J110" s="115">
        <v>1</v>
      </c>
      <c r="K110" s="116" t="s">
        <v>200</v>
      </c>
      <c r="L110" s="64" t="s">
        <v>27</v>
      </c>
      <c r="M110" s="48" t="s">
        <v>28</v>
      </c>
      <c r="N110" s="47">
        <v>7000000</v>
      </c>
      <c r="O110" s="167"/>
      <c r="P110" s="167"/>
      <c r="Q110" s="163">
        <f t="shared" si="22"/>
        <v>14000000</v>
      </c>
      <c r="R110" s="163"/>
      <c r="S110" s="163"/>
      <c r="T110" s="163"/>
      <c r="U110" s="163"/>
      <c r="V110" s="469"/>
      <c r="W110" s="49">
        <f>SUM(O110:V110)</f>
        <v>14000000</v>
      </c>
      <c r="X110" s="169">
        <f>SUM(W110:W114)</f>
        <v>24872000</v>
      </c>
    </row>
    <row r="111" spans="1:24" s="169" customFormat="1">
      <c r="A111" s="165"/>
      <c r="B111" s="156" t="s">
        <v>526</v>
      </c>
      <c r="C111" s="157"/>
      <c r="D111" s="157"/>
      <c r="E111" s="157"/>
      <c r="F111" s="158"/>
      <c r="G111" s="115">
        <v>2</v>
      </c>
      <c r="H111" s="116" t="s">
        <v>30</v>
      </c>
      <c r="I111" s="64" t="s">
        <v>27</v>
      </c>
      <c r="J111" s="115">
        <v>1</v>
      </c>
      <c r="K111" s="116" t="s">
        <v>200</v>
      </c>
      <c r="L111" s="64" t="s">
        <v>27</v>
      </c>
      <c r="M111" s="48" t="s">
        <v>28</v>
      </c>
      <c r="N111" s="47">
        <f>16000+30000</f>
        <v>46000</v>
      </c>
      <c r="O111" s="167"/>
      <c r="P111" s="167"/>
      <c r="Q111" s="163">
        <f t="shared" si="22"/>
        <v>92000</v>
      </c>
      <c r="R111" s="163"/>
      <c r="S111" s="163"/>
      <c r="T111" s="163"/>
      <c r="U111" s="163"/>
      <c r="V111" s="469"/>
      <c r="W111" s="49">
        <f t="shared" ref="W111" si="23">SUM(O111:V111)</f>
        <v>92000</v>
      </c>
    </row>
    <row r="112" spans="1:24" s="169" customFormat="1">
      <c r="A112" s="165"/>
      <c r="B112" s="156" t="s">
        <v>259</v>
      </c>
      <c r="C112" s="157"/>
      <c r="D112" s="157"/>
      <c r="E112" s="157"/>
      <c r="F112" s="158"/>
      <c r="G112" s="115">
        <v>2</v>
      </c>
      <c r="H112" s="116" t="s">
        <v>30</v>
      </c>
      <c r="I112" s="64" t="s">
        <v>27</v>
      </c>
      <c r="J112" s="115">
        <v>1</v>
      </c>
      <c r="K112" s="116" t="s">
        <v>200</v>
      </c>
      <c r="L112" s="64" t="s">
        <v>27</v>
      </c>
      <c r="M112" s="48" t="s">
        <v>28</v>
      </c>
      <c r="N112" s="47">
        <f>(174000+171000)*2</f>
        <v>690000</v>
      </c>
      <c r="O112" s="167"/>
      <c r="P112" s="167"/>
      <c r="Q112" s="163">
        <f t="shared" si="22"/>
        <v>1380000</v>
      </c>
      <c r="R112" s="163"/>
      <c r="S112" s="163"/>
      <c r="T112" s="163"/>
      <c r="U112" s="163"/>
      <c r="V112" s="469"/>
      <c r="W112" s="49">
        <f>SUM(O112:V112)</f>
        <v>1380000</v>
      </c>
    </row>
    <row r="113" spans="1:24" s="169" customFormat="1">
      <c r="A113" s="165"/>
      <c r="B113" s="156" t="s">
        <v>113</v>
      </c>
      <c r="C113" s="157"/>
      <c r="D113" s="157"/>
      <c r="E113" s="157"/>
      <c r="F113" s="158"/>
      <c r="G113" s="115">
        <v>2</v>
      </c>
      <c r="H113" s="116" t="s">
        <v>30</v>
      </c>
      <c r="I113" s="64" t="s">
        <v>27</v>
      </c>
      <c r="J113" s="115">
        <v>6</v>
      </c>
      <c r="K113" s="116" t="s">
        <v>31</v>
      </c>
      <c r="L113" s="64" t="s">
        <v>27</v>
      </c>
      <c r="M113" s="48" t="s">
        <v>28</v>
      </c>
      <c r="N113" s="47">
        <v>380000</v>
      </c>
      <c r="O113" s="167"/>
      <c r="P113" s="167"/>
      <c r="Q113" s="163">
        <f t="shared" si="22"/>
        <v>4560000</v>
      </c>
      <c r="R113" s="163"/>
      <c r="S113" s="163"/>
      <c r="T113" s="163"/>
      <c r="U113" s="163"/>
      <c r="V113" s="469"/>
      <c r="W113" s="49">
        <f>SUM(O113:V113)</f>
        <v>4560000</v>
      </c>
    </row>
    <row r="114" spans="1:24" s="169" customFormat="1">
      <c r="A114" s="165"/>
      <c r="B114" s="156" t="s">
        <v>199</v>
      </c>
      <c r="C114" s="157"/>
      <c r="D114" s="157"/>
      <c r="E114" s="157"/>
      <c r="F114" s="158"/>
      <c r="G114" s="115">
        <v>2</v>
      </c>
      <c r="H114" s="116" t="s">
        <v>30</v>
      </c>
      <c r="I114" s="64" t="s">
        <v>27</v>
      </c>
      <c r="J114" s="115">
        <v>5</v>
      </c>
      <c r="K114" s="116" t="s">
        <v>31</v>
      </c>
      <c r="L114" s="64" t="s">
        <v>27</v>
      </c>
      <c r="M114" s="48" t="s">
        <v>28</v>
      </c>
      <c r="N114" s="47">
        <v>484000</v>
      </c>
      <c r="O114" s="167"/>
      <c r="P114" s="167"/>
      <c r="Q114" s="163">
        <f t="shared" si="22"/>
        <v>4840000</v>
      </c>
      <c r="R114" s="163"/>
      <c r="S114" s="163"/>
      <c r="T114" s="163"/>
      <c r="U114" s="163"/>
      <c r="V114" s="469"/>
      <c r="W114" s="49">
        <f>SUM(O114:V114)</f>
        <v>4840000</v>
      </c>
    </row>
    <row r="115" spans="1:24" s="169" customFormat="1">
      <c r="A115" s="165"/>
      <c r="B115" s="156"/>
      <c r="C115" s="157"/>
      <c r="D115" s="157"/>
      <c r="E115" s="157"/>
      <c r="F115" s="158"/>
      <c r="G115" s="115"/>
      <c r="H115" s="116"/>
      <c r="I115" s="64"/>
      <c r="J115" s="115"/>
      <c r="K115" s="116"/>
      <c r="L115" s="64"/>
      <c r="M115" s="48"/>
      <c r="N115" s="47"/>
      <c r="O115" s="167"/>
      <c r="P115" s="167"/>
      <c r="Q115" s="163"/>
      <c r="R115" s="163"/>
      <c r="S115" s="163"/>
      <c r="T115" s="163"/>
      <c r="U115" s="163"/>
      <c r="V115" s="469"/>
      <c r="W115" s="49"/>
    </row>
    <row r="116" spans="1:24">
      <c r="A116" s="54" t="s">
        <v>524</v>
      </c>
      <c r="B116" s="166" t="s">
        <v>475</v>
      </c>
      <c r="C116" s="157"/>
      <c r="D116" s="157"/>
      <c r="E116" s="157"/>
      <c r="F116" s="158"/>
      <c r="G116" s="423"/>
      <c r="H116" s="451"/>
      <c r="I116" s="161"/>
      <c r="J116" s="423"/>
      <c r="K116" s="451"/>
      <c r="L116" s="161"/>
      <c r="M116" s="160"/>
      <c r="N116" s="170"/>
      <c r="O116" s="167"/>
      <c r="P116" s="167"/>
      <c r="Q116" s="163">
        <f t="shared" ref="Q116:Q121" si="24">G116*J116*N116</f>
        <v>0</v>
      </c>
      <c r="R116" s="163"/>
      <c r="S116" s="163"/>
      <c r="T116" s="163"/>
      <c r="U116" s="163"/>
      <c r="V116" s="469"/>
      <c r="W116" s="49">
        <f>SUM(O116:V116)</f>
        <v>0</v>
      </c>
      <c r="X116" s="29"/>
    </row>
    <row r="117" spans="1:24">
      <c r="A117" s="54"/>
      <c r="B117" s="156" t="s">
        <v>370</v>
      </c>
      <c r="C117" s="157"/>
      <c r="D117" s="157"/>
      <c r="E117" s="157"/>
      <c r="F117" s="158"/>
      <c r="G117" s="115">
        <v>2</v>
      </c>
      <c r="H117" s="116" t="s">
        <v>30</v>
      </c>
      <c r="I117" s="64" t="s">
        <v>27</v>
      </c>
      <c r="J117" s="115">
        <v>1</v>
      </c>
      <c r="K117" s="116" t="s">
        <v>200</v>
      </c>
      <c r="L117" s="64" t="s">
        <v>27</v>
      </c>
      <c r="M117" s="48" t="s">
        <v>28</v>
      </c>
      <c r="N117" s="47">
        <v>7000000</v>
      </c>
      <c r="O117" s="167"/>
      <c r="P117" s="167"/>
      <c r="Q117" s="163">
        <f t="shared" si="24"/>
        <v>14000000</v>
      </c>
      <c r="R117" s="163"/>
      <c r="S117" s="163"/>
      <c r="T117" s="163"/>
      <c r="U117" s="163"/>
      <c r="V117" s="469"/>
      <c r="W117" s="49">
        <f>SUM(O117:V117)</f>
        <v>14000000</v>
      </c>
      <c r="X117" s="169">
        <f>SUM(W117:W121)</f>
        <v>23458000</v>
      </c>
    </row>
    <row r="118" spans="1:24" s="169" customFormat="1">
      <c r="A118" s="165"/>
      <c r="B118" s="156" t="s">
        <v>526</v>
      </c>
      <c r="C118" s="157"/>
      <c r="D118" s="157"/>
      <c r="E118" s="157"/>
      <c r="F118" s="158"/>
      <c r="G118" s="115">
        <v>2</v>
      </c>
      <c r="H118" s="116" t="s">
        <v>30</v>
      </c>
      <c r="I118" s="64" t="s">
        <v>27</v>
      </c>
      <c r="J118" s="115">
        <v>1</v>
      </c>
      <c r="K118" s="116" t="s">
        <v>200</v>
      </c>
      <c r="L118" s="64" t="s">
        <v>27</v>
      </c>
      <c r="M118" s="48" t="s">
        <v>28</v>
      </c>
      <c r="N118" s="47">
        <f>16000+40000+25000+40000</f>
        <v>121000</v>
      </c>
      <c r="O118" s="167"/>
      <c r="P118" s="167"/>
      <c r="Q118" s="163">
        <f t="shared" si="24"/>
        <v>242000</v>
      </c>
      <c r="R118" s="163"/>
      <c r="S118" s="163"/>
      <c r="T118" s="163"/>
      <c r="U118" s="163"/>
      <c r="V118" s="469"/>
      <c r="W118" s="49">
        <f t="shared" ref="W118" si="25">SUM(O118:V118)</f>
        <v>242000</v>
      </c>
    </row>
    <row r="119" spans="1:24" s="169" customFormat="1">
      <c r="A119" s="165"/>
      <c r="B119" s="156" t="s">
        <v>259</v>
      </c>
      <c r="C119" s="157"/>
      <c r="D119" s="157"/>
      <c r="E119" s="157"/>
      <c r="F119" s="158"/>
      <c r="G119" s="115">
        <v>2</v>
      </c>
      <c r="H119" s="116" t="s">
        <v>30</v>
      </c>
      <c r="I119" s="64" t="s">
        <v>27</v>
      </c>
      <c r="J119" s="115">
        <v>1</v>
      </c>
      <c r="K119" s="116" t="s">
        <v>200</v>
      </c>
      <c r="L119" s="64" t="s">
        <v>27</v>
      </c>
      <c r="M119" s="48" t="s">
        <v>28</v>
      </c>
      <c r="N119" s="47">
        <f>(174000+130000)*2</f>
        <v>608000</v>
      </c>
      <c r="O119" s="167"/>
      <c r="P119" s="167"/>
      <c r="Q119" s="163">
        <f t="shared" si="24"/>
        <v>1216000</v>
      </c>
      <c r="R119" s="163"/>
      <c r="S119" s="163"/>
      <c r="T119" s="163"/>
      <c r="U119" s="163"/>
      <c r="V119" s="469"/>
      <c r="W119" s="49">
        <f>SUM(O119:V119)</f>
        <v>1216000</v>
      </c>
    </row>
    <row r="120" spans="1:24">
      <c r="A120" s="54"/>
      <c r="B120" s="156" t="s">
        <v>113</v>
      </c>
      <c r="C120" s="157"/>
      <c r="D120" s="157"/>
      <c r="E120" s="157"/>
      <c r="F120" s="158"/>
      <c r="G120" s="115">
        <v>2</v>
      </c>
      <c r="H120" s="116" t="s">
        <v>30</v>
      </c>
      <c r="I120" s="64" t="s">
        <v>27</v>
      </c>
      <c r="J120" s="115">
        <v>5</v>
      </c>
      <c r="K120" s="116" t="s">
        <v>31</v>
      </c>
      <c r="L120" s="64" t="s">
        <v>27</v>
      </c>
      <c r="M120" s="48" t="s">
        <v>28</v>
      </c>
      <c r="N120" s="47">
        <v>480000</v>
      </c>
      <c r="O120" s="167"/>
      <c r="P120" s="167"/>
      <c r="Q120" s="163">
        <f t="shared" si="24"/>
        <v>4800000</v>
      </c>
      <c r="R120" s="163"/>
      <c r="S120" s="163"/>
      <c r="T120" s="163"/>
      <c r="U120" s="163"/>
      <c r="V120" s="469"/>
      <c r="W120" s="49">
        <f>SUM(O120:V120)</f>
        <v>4800000</v>
      </c>
      <c r="X120" s="29"/>
    </row>
    <row r="121" spans="1:24">
      <c r="A121" s="54"/>
      <c r="B121" s="156" t="s">
        <v>199</v>
      </c>
      <c r="C121" s="157"/>
      <c r="D121" s="157"/>
      <c r="E121" s="157"/>
      <c r="F121" s="158"/>
      <c r="G121" s="115">
        <v>2</v>
      </c>
      <c r="H121" s="116" t="s">
        <v>30</v>
      </c>
      <c r="I121" s="64" t="s">
        <v>27</v>
      </c>
      <c r="J121" s="115">
        <v>4</v>
      </c>
      <c r="K121" s="116" t="s">
        <v>31</v>
      </c>
      <c r="L121" s="64" t="s">
        <v>27</v>
      </c>
      <c r="M121" s="48" t="s">
        <v>28</v>
      </c>
      <c r="N121" s="47">
        <v>400000</v>
      </c>
      <c r="O121" s="167"/>
      <c r="P121" s="167"/>
      <c r="Q121" s="163">
        <f t="shared" si="24"/>
        <v>3200000</v>
      </c>
      <c r="R121" s="163"/>
      <c r="S121" s="163"/>
      <c r="T121" s="163"/>
      <c r="U121" s="163"/>
      <c r="V121" s="469"/>
      <c r="W121" s="49">
        <f>SUM(O121:V121)</f>
        <v>3200000</v>
      </c>
      <c r="X121" s="29"/>
    </row>
    <row r="122" spans="1:24" s="169" customFormat="1">
      <c r="A122" s="165"/>
      <c r="B122" s="156"/>
      <c r="C122" s="157"/>
      <c r="D122" s="157"/>
      <c r="E122" s="157"/>
      <c r="F122" s="158"/>
      <c r="G122" s="115"/>
      <c r="H122" s="116"/>
      <c r="I122" s="64"/>
      <c r="J122" s="115"/>
      <c r="K122" s="116"/>
      <c r="L122" s="64"/>
      <c r="M122" s="48"/>
      <c r="N122" s="47"/>
      <c r="O122" s="167"/>
      <c r="P122" s="167"/>
      <c r="Q122" s="163"/>
      <c r="R122" s="163"/>
      <c r="S122" s="163"/>
      <c r="T122" s="163"/>
      <c r="U122" s="163"/>
      <c r="V122" s="469"/>
      <c r="W122" s="49"/>
    </row>
    <row r="123" spans="1:24" s="169" customFormat="1">
      <c r="A123" s="165" t="s">
        <v>525</v>
      </c>
      <c r="B123" s="166" t="s">
        <v>202</v>
      </c>
      <c r="C123" s="157"/>
      <c r="D123" s="157"/>
      <c r="E123" s="157"/>
      <c r="F123" s="158"/>
      <c r="G123" s="423"/>
      <c r="H123" s="451"/>
      <c r="I123" s="161"/>
      <c r="J123" s="423"/>
      <c r="K123" s="451"/>
      <c r="L123" s="161"/>
      <c r="M123" s="160"/>
      <c r="N123" s="170"/>
      <c r="O123" s="167"/>
      <c r="P123" s="167"/>
      <c r="Q123" s="163">
        <f t="shared" ref="Q123:Q141" si="26">G123*J123*N123</f>
        <v>0</v>
      </c>
      <c r="R123" s="163"/>
      <c r="S123" s="163"/>
      <c r="T123" s="163"/>
      <c r="U123" s="163"/>
      <c r="V123" s="469"/>
      <c r="W123" s="49">
        <f t="shared" si="16"/>
        <v>0</v>
      </c>
    </row>
    <row r="124" spans="1:24" s="169" customFormat="1">
      <c r="A124" s="165"/>
      <c r="B124" s="156" t="s">
        <v>459</v>
      </c>
      <c r="C124" s="157"/>
      <c r="D124" s="157"/>
      <c r="E124" s="157"/>
      <c r="F124" s="158"/>
      <c r="G124" s="115">
        <v>2</v>
      </c>
      <c r="H124" s="116" t="s">
        <v>30</v>
      </c>
      <c r="I124" s="64" t="s">
        <v>27</v>
      </c>
      <c r="J124" s="115">
        <v>1</v>
      </c>
      <c r="K124" s="116" t="s">
        <v>200</v>
      </c>
      <c r="L124" s="64" t="s">
        <v>27</v>
      </c>
      <c r="M124" s="48" t="s">
        <v>28</v>
      </c>
      <c r="N124" s="47">
        <v>7000000</v>
      </c>
      <c r="O124" s="167"/>
      <c r="P124" s="167"/>
      <c r="Q124" s="163">
        <f t="shared" si="26"/>
        <v>14000000</v>
      </c>
      <c r="R124" s="163"/>
      <c r="S124" s="163"/>
      <c r="T124" s="163"/>
      <c r="U124" s="163"/>
      <c r="V124" s="469"/>
      <c r="W124" s="49">
        <f t="shared" si="16"/>
        <v>14000000</v>
      </c>
      <c r="X124" s="169">
        <f>SUM(W124:W128)</f>
        <v>25032000</v>
      </c>
    </row>
    <row r="125" spans="1:24" s="169" customFormat="1">
      <c r="A125" s="165"/>
      <c r="B125" s="156" t="s">
        <v>526</v>
      </c>
      <c r="C125" s="157"/>
      <c r="D125" s="157"/>
      <c r="E125" s="157"/>
      <c r="F125" s="158"/>
      <c r="G125" s="115">
        <v>2</v>
      </c>
      <c r="H125" s="116" t="s">
        <v>30</v>
      </c>
      <c r="I125" s="64" t="s">
        <v>27</v>
      </c>
      <c r="J125" s="115">
        <v>1</v>
      </c>
      <c r="K125" s="116" t="s">
        <v>200</v>
      </c>
      <c r="L125" s="64" t="s">
        <v>27</v>
      </c>
      <c r="M125" s="48" t="s">
        <v>28</v>
      </c>
      <c r="N125" s="47">
        <f>16000+40000+30000+40000</f>
        <v>126000</v>
      </c>
      <c r="O125" s="167"/>
      <c r="P125" s="167"/>
      <c r="Q125" s="163">
        <f t="shared" si="26"/>
        <v>252000</v>
      </c>
      <c r="R125" s="163"/>
      <c r="S125" s="163"/>
      <c r="T125" s="163"/>
      <c r="U125" s="163"/>
      <c r="V125" s="469"/>
      <c r="W125" s="49">
        <f t="shared" ref="W125" si="27">SUM(O125:V125)</f>
        <v>252000</v>
      </c>
    </row>
    <row r="126" spans="1:24" s="169" customFormat="1">
      <c r="A126" s="165"/>
      <c r="B126" s="156" t="s">
        <v>259</v>
      </c>
      <c r="C126" s="157"/>
      <c r="D126" s="157"/>
      <c r="E126" s="157"/>
      <c r="F126" s="158"/>
      <c r="G126" s="115">
        <v>2</v>
      </c>
      <c r="H126" s="116" t="s">
        <v>30</v>
      </c>
      <c r="I126" s="64" t="s">
        <v>27</v>
      </c>
      <c r="J126" s="115">
        <v>1</v>
      </c>
      <c r="K126" s="116" t="s">
        <v>200</v>
      </c>
      <c r="L126" s="64" t="s">
        <v>27</v>
      </c>
      <c r="M126" s="48" t="s">
        <v>28</v>
      </c>
      <c r="N126" s="47">
        <f>(174000+171000)*2</f>
        <v>690000</v>
      </c>
      <c r="O126" s="167"/>
      <c r="P126" s="167"/>
      <c r="Q126" s="163">
        <f t="shared" si="26"/>
        <v>1380000</v>
      </c>
      <c r="R126" s="163"/>
      <c r="S126" s="163"/>
      <c r="T126" s="163"/>
      <c r="U126" s="163"/>
      <c r="V126" s="469"/>
      <c r="W126" s="49">
        <f t="shared" si="16"/>
        <v>1380000</v>
      </c>
    </row>
    <row r="127" spans="1:24" s="169" customFormat="1">
      <c r="A127" s="165"/>
      <c r="B127" s="156" t="s">
        <v>113</v>
      </c>
      <c r="C127" s="157"/>
      <c r="D127" s="157"/>
      <c r="E127" s="157"/>
      <c r="F127" s="158"/>
      <c r="G127" s="115">
        <v>2</v>
      </c>
      <c r="H127" s="116" t="s">
        <v>30</v>
      </c>
      <c r="I127" s="64" t="s">
        <v>27</v>
      </c>
      <c r="J127" s="115">
        <v>6</v>
      </c>
      <c r="K127" s="116" t="s">
        <v>31</v>
      </c>
      <c r="L127" s="64" t="s">
        <v>27</v>
      </c>
      <c r="M127" s="48" t="s">
        <v>28</v>
      </c>
      <c r="N127" s="47">
        <v>380000</v>
      </c>
      <c r="O127" s="167"/>
      <c r="P127" s="167"/>
      <c r="Q127" s="163">
        <f t="shared" si="26"/>
        <v>4560000</v>
      </c>
      <c r="R127" s="163"/>
      <c r="S127" s="163"/>
      <c r="T127" s="163"/>
      <c r="U127" s="163"/>
      <c r="V127" s="469"/>
      <c r="W127" s="49">
        <f t="shared" si="16"/>
        <v>4560000</v>
      </c>
    </row>
    <row r="128" spans="1:24" s="169" customFormat="1">
      <c r="A128" s="165"/>
      <c r="B128" s="156" t="s">
        <v>199</v>
      </c>
      <c r="C128" s="157"/>
      <c r="D128" s="157"/>
      <c r="E128" s="157"/>
      <c r="F128" s="158"/>
      <c r="G128" s="115">
        <v>2</v>
      </c>
      <c r="H128" s="116" t="s">
        <v>30</v>
      </c>
      <c r="I128" s="64" t="s">
        <v>27</v>
      </c>
      <c r="J128" s="115">
        <v>5</v>
      </c>
      <c r="K128" s="116" t="s">
        <v>31</v>
      </c>
      <c r="L128" s="64" t="s">
        <v>27</v>
      </c>
      <c r="M128" s="48" t="s">
        <v>28</v>
      </c>
      <c r="N128" s="47">
        <v>484000</v>
      </c>
      <c r="O128" s="167"/>
      <c r="P128" s="167"/>
      <c r="Q128" s="163">
        <f t="shared" si="26"/>
        <v>4840000</v>
      </c>
      <c r="R128" s="163"/>
      <c r="S128" s="163"/>
      <c r="T128" s="163"/>
      <c r="U128" s="163"/>
      <c r="V128" s="469"/>
      <c r="W128" s="49">
        <f t="shared" si="16"/>
        <v>4840000</v>
      </c>
    </row>
    <row r="129" spans="1:24" s="169" customFormat="1">
      <c r="A129" s="165"/>
      <c r="B129" s="156"/>
      <c r="C129" s="157"/>
      <c r="D129" s="157"/>
      <c r="E129" s="157"/>
      <c r="F129" s="158"/>
      <c r="G129" s="115"/>
      <c r="H129" s="116"/>
      <c r="I129" s="64"/>
      <c r="J129" s="115"/>
      <c r="K129" s="116"/>
      <c r="L129" s="64"/>
      <c r="M129" s="48"/>
      <c r="N129" s="47"/>
      <c r="O129" s="167"/>
      <c r="P129" s="167"/>
      <c r="Q129" s="163">
        <f t="shared" si="26"/>
        <v>0</v>
      </c>
      <c r="R129" s="163"/>
      <c r="S129" s="163"/>
      <c r="T129" s="163"/>
      <c r="U129" s="163"/>
      <c r="V129" s="469"/>
      <c r="W129" s="49">
        <f t="shared" si="16"/>
        <v>0</v>
      </c>
    </row>
    <row r="130" spans="1:24" s="16" customFormat="1">
      <c r="A130" s="165" t="s">
        <v>50</v>
      </c>
      <c r="B130" s="46" t="s">
        <v>197</v>
      </c>
      <c r="C130" s="4"/>
      <c r="D130" s="4"/>
      <c r="E130" s="4"/>
      <c r="F130" s="52"/>
      <c r="G130" s="115"/>
      <c r="H130" s="116"/>
      <c r="I130" s="64"/>
      <c r="J130" s="115"/>
      <c r="K130" s="116"/>
      <c r="L130" s="64"/>
      <c r="M130" s="48"/>
      <c r="N130" s="47"/>
      <c r="O130" s="63"/>
      <c r="P130" s="63"/>
      <c r="Q130" s="163">
        <f t="shared" si="26"/>
        <v>0</v>
      </c>
      <c r="R130" s="163"/>
      <c r="S130" s="163"/>
      <c r="T130" s="65"/>
      <c r="U130" s="65"/>
      <c r="V130" s="467"/>
      <c r="W130" s="49"/>
      <c r="X130" s="175"/>
    </row>
    <row r="131" spans="1:24" s="16" customFormat="1">
      <c r="A131" s="165"/>
      <c r="B131" s="3" t="s">
        <v>42</v>
      </c>
      <c r="C131" s="10"/>
      <c r="D131" s="10"/>
      <c r="E131" s="77"/>
      <c r="F131" s="11"/>
      <c r="G131" s="420"/>
      <c r="H131" s="449"/>
      <c r="I131" s="11"/>
      <c r="J131" s="420"/>
      <c r="K131" s="449"/>
      <c r="L131" s="436"/>
      <c r="M131" s="11"/>
      <c r="N131" s="77"/>
      <c r="O131" s="63"/>
      <c r="P131" s="63"/>
      <c r="Q131" s="163">
        <f t="shared" si="26"/>
        <v>0</v>
      </c>
      <c r="R131" s="163"/>
      <c r="S131" s="65"/>
      <c r="T131" s="65"/>
      <c r="U131" s="65"/>
      <c r="V131" s="467"/>
      <c r="W131" s="49">
        <f t="shared" ref="W131:W147" si="28">SUM(O131:V131)</f>
        <v>0</v>
      </c>
      <c r="X131" s="78"/>
    </row>
    <row r="132" spans="1:24" s="16" customFormat="1">
      <c r="A132" s="165"/>
      <c r="B132" s="388" t="s">
        <v>43</v>
      </c>
      <c r="C132" s="10"/>
      <c r="D132" s="10"/>
      <c r="E132" s="77"/>
      <c r="F132" s="11"/>
      <c r="G132" s="420"/>
      <c r="H132" s="449"/>
      <c r="I132" s="11"/>
      <c r="J132" s="115">
        <v>8</v>
      </c>
      <c r="K132" s="116" t="s">
        <v>200</v>
      </c>
      <c r="L132" s="64" t="s">
        <v>27</v>
      </c>
      <c r="M132" s="48" t="s">
        <v>28</v>
      </c>
      <c r="N132" s="47">
        <v>100000</v>
      </c>
      <c r="O132" s="63">
        <f>N132*J132</f>
        <v>800000</v>
      </c>
      <c r="P132" s="63"/>
      <c r="Q132" s="163">
        <f t="shared" si="26"/>
        <v>0</v>
      </c>
      <c r="R132" s="163"/>
      <c r="S132" s="65"/>
      <c r="T132" s="65"/>
      <c r="U132" s="65"/>
      <c r="V132" s="381"/>
      <c r="W132" s="49">
        <f t="shared" si="28"/>
        <v>800000</v>
      </c>
      <c r="X132" s="78"/>
    </row>
    <row r="133" spans="1:24" s="16" customFormat="1">
      <c r="A133" s="165"/>
      <c r="B133" s="10"/>
      <c r="C133" s="10"/>
      <c r="D133" s="10"/>
      <c r="E133" s="77"/>
      <c r="F133" s="11"/>
      <c r="G133" s="420"/>
      <c r="H133" s="449"/>
      <c r="I133" s="11"/>
      <c r="J133" s="115"/>
      <c r="K133" s="116"/>
      <c r="L133" s="64"/>
      <c r="M133" s="48"/>
      <c r="N133" s="47"/>
      <c r="O133" s="63"/>
      <c r="P133" s="63"/>
      <c r="Q133" s="163">
        <f t="shared" si="26"/>
        <v>0</v>
      </c>
      <c r="R133" s="163"/>
      <c r="S133" s="65"/>
      <c r="T133" s="65"/>
      <c r="U133" s="65"/>
      <c r="V133" s="381"/>
      <c r="W133" s="49">
        <f t="shared" si="28"/>
        <v>0</v>
      </c>
      <c r="X133" s="78"/>
    </row>
    <row r="134" spans="1:24">
      <c r="A134" s="54">
        <v>2</v>
      </c>
      <c r="B134" s="3" t="s">
        <v>205</v>
      </c>
      <c r="C134" s="67"/>
      <c r="D134" s="67"/>
      <c r="E134" s="68"/>
      <c r="F134" s="67"/>
      <c r="G134" s="424"/>
      <c r="H134" s="452"/>
      <c r="I134" s="69"/>
      <c r="J134" s="424"/>
      <c r="K134" s="452"/>
      <c r="L134" s="438"/>
      <c r="M134" s="69"/>
      <c r="N134" s="68"/>
      <c r="O134" s="70"/>
      <c r="P134" s="70"/>
      <c r="Q134" s="163">
        <f t="shared" si="26"/>
        <v>0</v>
      </c>
      <c r="R134" s="163"/>
      <c r="S134" s="71"/>
      <c r="T134" s="71"/>
      <c r="U134" s="71"/>
      <c r="V134" s="470"/>
      <c r="W134" s="49">
        <f t="shared" si="28"/>
        <v>0</v>
      </c>
      <c r="X134" s="472">
        <f>X137+X144</f>
        <v>2133900000</v>
      </c>
    </row>
    <row r="135" spans="1:24" s="324" customFormat="1">
      <c r="A135" s="66" t="s">
        <v>195</v>
      </c>
      <c r="B135" s="3" t="s">
        <v>387</v>
      </c>
      <c r="C135" s="67"/>
      <c r="D135" s="67"/>
      <c r="E135" s="68"/>
      <c r="F135" s="67"/>
      <c r="G135" s="424"/>
      <c r="H135" s="452"/>
      <c r="I135" s="69"/>
      <c r="J135" s="424"/>
      <c r="K135" s="452"/>
      <c r="L135" s="438"/>
      <c r="M135" s="69"/>
      <c r="N135" s="68"/>
      <c r="O135" s="70"/>
      <c r="P135" s="70"/>
      <c r="Q135" s="163">
        <f t="shared" si="26"/>
        <v>0</v>
      </c>
      <c r="R135" s="163"/>
      <c r="S135" s="71"/>
      <c r="T135" s="71"/>
      <c r="U135" s="71"/>
      <c r="V135" s="470"/>
      <c r="W135" s="49">
        <f t="shared" si="28"/>
        <v>0</v>
      </c>
      <c r="X135" s="108"/>
    </row>
    <row r="136" spans="1:24" s="16" customFormat="1">
      <c r="A136" s="54"/>
      <c r="B136" s="55" t="s">
        <v>57</v>
      </c>
      <c r="C136" s="46"/>
      <c r="D136" s="4"/>
      <c r="E136" s="4"/>
      <c r="F136" s="52"/>
      <c r="G136" s="419"/>
      <c r="H136" s="458"/>
      <c r="I136" s="52"/>
      <c r="J136" s="419"/>
      <c r="K136" s="448"/>
      <c r="L136" s="83"/>
      <c r="M136" s="80"/>
      <c r="N136" s="81"/>
      <c r="O136" s="65"/>
      <c r="P136" s="65"/>
      <c r="Q136" s="163">
        <f t="shared" si="26"/>
        <v>0</v>
      </c>
      <c r="R136" s="163"/>
      <c r="S136" s="65"/>
      <c r="T136" s="65"/>
      <c r="U136" s="65"/>
      <c r="V136" s="381"/>
      <c r="W136" s="49">
        <f t="shared" si="28"/>
        <v>0</v>
      </c>
      <c r="X136" s="78"/>
    </row>
    <row r="137" spans="1:24" s="16" customFormat="1">
      <c r="A137" s="54"/>
      <c r="B137" s="103" t="s">
        <v>183</v>
      </c>
      <c r="C137" s="4"/>
      <c r="D137" s="4"/>
      <c r="E137" s="4"/>
      <c r="F137" s="52"/>
      <c r="G137" s="419"/>
      <c r="H137" s="454"/>
      <c r="I137" s="82"/>
      <c r="J137" s="115">
        <v>1</v>
      </c>
      <c r="K137" s="116" t="s">
        <v>26</v>
      </c>
      <c r="L137" s="64" t="s">
        <v>27</v>
      </c>
      <c r="M137" s="48" t="s">
        <v>28</v>
      </c>
      <c r="N137" s="47">
        <v>1200000000</v>
      </c>
      <c r="O137" s="63"/>
      <c r="P137" s="63"/>
      <c r="Q137" s="163">
        <f t="shared" si="26"/>
        <v>0</v>
      </c>
      <c r="R137" s="163"/>
      <c r="S137" s="63"/>
      <c r="T137" s="63"/>
      <c r="U137" s="63">
        <f>N137</f>
        <v>1200000000</v>
      </c>
      <c r="V137" s="333"/>
      <c r="W137" s="49">
        <f t="shared" si="28"/>
        <v>1200000000</v>
      </c>
      <c r="X137" s="175">
        <f>SUM(W137:W140)</f>
        <v>1422600000</v>
      </c>
    </row>
    <row r="138" spans="1:24" s="16" customFormat="1">
      <c r="A138" s="66"/>
      <c r="B138" s="103" t="s">
        <v>388</v>
      </c>
      <c r="C138" s="4"/>
      <c r="D138" s="4"/>
      <c r="E138" s="4"/>
      <c r="F138" s="82"/>
      <c r="G138" s="419"/>
      <c r="H138" s="454"/>
      <c r="I138" s="82"/>
      <c r="J138" s="115">
        <v>1</v>
      </c>
      <c r="K138" s="116" t="s">
        <v>26</v>
      </c>
      <c r="L138" s="64" t="s">
        <v>27</v>
      </c>
      <c r="M138" s="48" t="s">
        <v>28</v>
      </c>
      <c r="N138" s="47">
        <f>N137*6.35%</f>
        <v>76200000</v>
      </c>
      <c r="O138" s="63"/>
      <c r="P138" s="63"/>
      <c r="Q138" s="163">
        <f t="shared" si="26"/>
        <v>0</v>
      </c>
      <c r="R138" s="163"/>
      <c r="S138" s="63"/>
      <c r="T138" s="63"/>
      <c r="U138" s="63">
        <f>N138</f>
        <v>76200000</v>
      </c>
      <c r="V138" s="333"/>
      <c r="W138" s="49">
        <f t="shared" si="28"/>
        <v>76200000</v>
      </c>
      <c r="X138" s="78"/>
    </row>
    <row r="139" spans="1:24" s="16" customFormat="1">
      <c r="B139" s="103" t="s">
        <v>218</v>
      </c>
      <c r="C139" s="4"/>
      <c r="D139" s="4"/>
      <c r="E139" s="4"/>
      <c r="F139" s="82"/>
      <c r="G139" s="419"/>
      <c r="H139" s="454"/>
      <c r="I139" s="82"/>
      <c r="J139" s="115">
        <v>1</v>
      </c>
      <c r="K139" s="116" t="s">
        <v>26</v>
      </c>
      <c r="L139" s="64" t="s">
        <v>27</v>
      </c>
      <c r="M139" s="48" t="s">
        <v>28</v>
      </c>
      <c r="N139" s="47">
        <f>N137*4.45%</f>
        <v>53400000.000000007</v>
      </c>
      <c r="O139" s="63"/>
      <c r="P139" s="63"/>
      <c r="Q139" s="163">
        <f t="shared" si="26"/>
        <v>0</v>
      </c>
      <c r="R139" s="163"/>
      <c r="S139" s="63"/>
      <c r="T139" s="63"/>
      <c r="U139" s="63">
        <f>N139</f>
        <v>53400000.000000007</v>
      </c>
      <c r="V139" s="333"/>
      <c r="W139" s="49">
        <f t="shared" si="28"/>
        <v>53400000.000000007</v>
      </c>
      <c r="X139" s="78"/>
    </row>
    <row r="140" spans="1:24" s="16" customFormat="1">
      <c r="A140" s="79"/>
      <c r="B140" s="103" t="s">
        <v>193</v>
      </c>
      <c r="C140" s="4"/>
      <c r="D140" s="4"/>
      <c r="E140" s="4"/>
      <c r="F140" s="82"/>
      <c r="G140" s="419"/>
      <c r="H140" s="454"/>
      <c r="I140" s="82"/>
      <c r="J140" s="115">
        <v>1</v>
      </c>
      <c r="K140" s="116" t="s">
        <v>26</v>
      </c>
      <c r="L140" s="64" t="s">
        <v>27</v>
      </c>
      <c r="M140" s="48" t="s">
        <v>28</v>
      </c>
      <c r="N140" s="47">
        <f>N137*7.75%</f>
        <v>93000000</v>
      </c>
      <c r="O140" s="63"/>
      <c r="P140" s="63"/>
      <c r="Q140" s="163">
        <f t="shared" si="26"/>
        <v>0</v>
      </c>
      <c r="R140" s="163"/>
      <c r="S140" s="63"/>
      <c r="T140" s="63"/>
      <c r="U140" s="63">
        <f>N140</f>
        <v>93000000</v>
      </c>
      <c r="V140" s="333"/>
      <c r="W140" s="49">
        <f t="shared" si="28"/>
        <v>93000000</v>
      </c>
      <c r="X140" s="78"/>
    </row>
    <row r="141" spans="1:24" s="16" customFormat="1">
      <c r="A141" s="79"/>
      <c r="B141" s="97"/>
      <c r="C141" s="56"/>
      <c r="D141" s="4"/>
      <c r="E141" s="4"/>
      <c r="F141" s="4"/>
      <c r="G141" s="115"/>
      <c r="H141" s="116"/>
      <c r="I141" s="48"/>
      <c r="J141" s="115"/>
      <c r="K141" s="116"/>
      <c r="L141" s="64"/>
      <c r="M141" s="48"/>
      <c r="N141" s="57"/>
      <c r="O141" s="63"/>
      <c r="P141" s="63"/>
      <c r="Q141" s="163">
        <f t="shared" si="26"/>
        <v>0</v>
      </c>
      <c r="R141" s="163"/>
      <c r="S141" s="63"/>
      <c r="T141" s="63"/>
      <c r="U141" s="63"/>
      <c r="V141" s="333"/>
      <c r="W141" s="49">
        <f t="shared" si="28"/>
        <v>0</v>
      </c>
      <c r="X141" s="78"/>
    </row>
    <row r="142" spans="1:24" s="22" customFormat="1">
      <c r="A142" s="66" t="s">
        <v>196</v>
      </c>
      <c r="B142" s="3" t="s">
        <v>597</v>
      </c>
      <c r="C142" s="67"/>
      <c r="D142" s="67"/>
      <c r="E142" s="68"/>
      <c r="F142" s="67"/>
      <c r="G142" s="424"/>
      <c r="H142" s="452"/>
      <c r="I142" s="69"/>
      <c r="J142" s="424"/>
      <c r="K142" s="452"/>
      <c r="L142" s="438"/>
      <c r="M142" s="69"/>
      <c r="N142" s="68"/>
      <c r="O142" s="70"/>
      <c r="P142" s="70"/>
      <c r="Q142" s="163">
        <f t="shared" ref="Q142:Q180" si="29">G142*J142*N142</f>
        <v>0</v>
      </c>
      <c r="R142" s="163"/>
      <c r="S142" s="71"/>
      <c r="T142" s="71"/>
      <c r="U142" s="71"/>
      <c r="V142" s="470"/>
      <c r="W142" s="49">
        <f t="shared" si="28"/>
        <v>0</v>
      </c>
      <c r="X142" s="361"/>
    </row>
    <row r="143" spans="1:24" s="16" customFormat="1">
      <c r="A143" s="79"/>
      <c r="B143" s="55" t="s">
        <v>57</v>
      </c>
      <c r="C143" s="46"/>
      <c r="D143" s="4"/>
      <c r="E143" s="4"/>
      <c r="F143" s="52"/>
      <c r="G143" s="419"/>
      <c r="H143" s="458"/>
      <c r="I143" s="52"/>
      <c r="J143" s="419"/>
      <c r="K143" s="448"/>
      <c r="L143" s="83"/>
      <c r="M143" s="80"/>
      <c r="N143" s="81"/>
      <c r="O143" s="65"/>
      <c r="P143" s="65"/>
      <c r="Q143" s="163">
        <f t="shared" si="29"/>
        <v>0</v>
      </c>
      <c r="R143" s="163"/>
      <c r="S143" s="65"/>
      <c r="T143" s="65"/>
      <c r="U143" s="65"/>
      <c r="V143" s="381"/>
      <c r="W143" s="49">
        <f t="shared" si="28"/>
        <v>0</v>
      </c>
      <c r="X143" s="78"/>
    </row>
    <row r="144" spans="1:24" s="16" customFormat="1">
      <c r="A144" s="79"/>
      <c r="B144" s="103" t="s">
        <v>183</v>
      </c>
      <c r="C144" s="4"/>
      <c r="D144" s="4"/>
      <c r="E144" s="4"/>
      <c r="F144" s="52"/>
      <c r="G144" s="419"/>
      <c r="H144" s="454"/>
      <c r="I144" s="82"/>
      <c r="J144" s="115">
        <v>1</v>
      </c>
      <c r="K144" s="116" t="s">
        <v>26</v>
      </c>
      <c r="L144" s="64" t="s">
        <v>27</v>
      </c>
      <c r="M144" s="48" t="s">
        <v>28</v>
      </c>
      <c r="N144" s="47">
        <v>600000000</v>
      </c>
      <c r="O144" s="63"/>
      <c r="P144" s="63"/>
      <c r="Q144" s="163">
        <f t="shared" si="29"/>
        <v>0</v>
      </c>
      <c r="R144" s="163"/>
      <c r="S144" s="63"/>
      <c r="T144" s="63"/>
      <c r="U144" s="63">
        <f>N144</f>
        <v>600000000</v>
      </c>
      <c r="V144" s="333"/>
      <c r="W144" s="49">
        <f t="shared" si="28"/>
        <v>600000000</v>
      </c>
      <c r="X144" s="175">
        <f>SUM(W144:W147)</f>
        <v>711300000</v>
      </c>
    </row>
    <row r="145" spans="1:24" s="16" customFormat="1">
      <c r="A145" s="54"/>
      <c r="B145" s="103" t="s">
        <v>388</v>
      </c>
      <c r="C145" s="4"/>
      <c r="D145" s="4"/>
      <c r="E145" s="4"/>
      <c r="F145" s="82"/>
      <c r="G145" s="419"/>
      <c r="H145" s="454"/>
      <c r="I145" s="82"/>
      <c r="J145" s="115">
        <v>1</v>
      </c>
      <c r="K145" s="116" t="s">
        <v>26</v>
      </c>
      <c r="L145" s="64" t="s">
        <v>27</v>
      </c>
      <c r="M145" s="48" t="s">
        <v>28</v>
      </c>
      <c r="N145" s="47">
        <f>N144*6.35%</f>
        <v>38100000</v>
      </c>
      <c r="O145" s="63"/>
      <c r="P145" s="63"/>
      <c r="Q145" s="163">
        <f t="shared" si="29"/>
        <v>0</v>
      </c>
      <c r="R145" s="163"/>
      <c r="S145" s="63"/>
      <c r="T145" s="63"/>
      <c r="U145" s="63">
        <f>N145</f>
        <v>38100000</v>
      </c>
      <c r="V145" s="333"/>
      <c r="W145" s="49">
        <f t="shared" si="28"/>
        <v>38100000</v>
      </c>
      <c r="X145" s="78"/>
    </row>
    <row r="146" spans="1:24" s="16" customFormat="1">
      <c r="A146" s="79"/>
      <c r="B146" s="103" t="s">
        <v>218</v>
      </c>
      <c r="C146" s="4"/>
      <c r="D146" s="4"/>
      <c r="E146" s="4"/>
      <c r="F146" s="82"/>
      <c r="G146" s="419"/>
      <c r="H146" s="454"/>
      <c r="I146" s="82"/>
      <c r="J146" s="115">
        <v>1</v>
      </c>
      <c r="K146" s="116" t="s">
        <v>26</v>
      </c>
      <c r="L146" s="64" t="s">
        <v>27</v>
      </c>
      <c r="M146" s="48" t="s">
        <v>28</v>
      </c>
      <c r="N146" s="47">
        <f>N144*4.45%</f>
        <v>26700000.000000004</v>
      </c>
      <c r="O146" s="63"/>
      <c r="P146" s="63"/>
      <c r="Q146" s="163">
        <f t="shared" si="29"/>
        <v>0</v>
      </c>
      <c r="R146" s="163"/>
      <c r="S146" s="63"/>
      <c r="T146" s="63"/>
      <c r="U146" s="63">
        <f>N146</f>
        <v>26700000.000000004</v>
      </c>
      <c r="V146" s="333"/>
      <c r="W146" s="49">
        <f t="shared" si="28"/>
        <v>26700000.000000004</v>
      </c>
      <c r="X146" s="175"/>
    </row>
    <row r="147" spans="1:24" s="16" customFormat="1">
      <c r="A147" s="79"/>
      <c r="B147" s="103" t="s">
        <v>193</v>
      </c>
      <c r="C147" s="4"/>
      <c r="D147" s="4"/>
      <c r="E147" s="4"/>
      <c r="F147" s="82"/>
      <c r="G147" s="419"/>
      <c r="H147" s="454"/>
      <c r="I147" s="82"/>
      <c r="J147" s="115">
        <v>1</v>
      </c>
      <c r="K147" s="116" t="s">
        <v>26</v>
      </c>
      <c r="L147" s="64" t="s">
        <v>27</v>
      </c>
      <c r="M147" s="48" t="s">
        <v>28</v>
      </c>
      <c r="N147" s="47">
        <f>N144*7.75%</f>
        <v>46500000</v>
      </c>
      <c r="O147" s="63"/>
      <c r="P147" s="63"/>
      <c r="Q147" s="163">
        <f t="shared" si="29"/>
        <v>0</v>
      </c>
      <c r="R147" s="163"/>
      <c r="S147" s="63"/>
      <c r="T147" s="63"/>
      <c r="U147" s="63">
        <f>N147</f>
        <v>46500000</v>
      </c>
      <c r="V147" s="333"/>
      <c r="W147" s="49">
        <f t="shared" si="28"/>
        <v>46500000</v>
      </c>
      <c r="X147" s="175"/>
    </row>
    <row r="148" spans="1:24" s="16" customFormat="1">
      <c r="A148" s="79"/>
      <c r="B148" s="103"/>
      <c r="C148" s="4"/>
      <c r="D148" s="4"/>
      <c r="E148" s="4"/>
      <c r="F148" s="82"/>
      <c r="G148" s="419"/>
      <c r="H148" s="454"/>
      <c r="I148" s="82"/>
      <c r="J148" s="115"/>
      <c r="K148" s="116"/>
      <c r="L148" s="64"/>
      <c r="M148" s="48"/>
      <c r="N148" s="47"/>
      <c r="O148" s="63"/>
      <c r="P148" s="63"/>
      <c r="Q148" s="163">
        <f t="shared" si="29"/>
        <v>0</v>
      </c>
      <c r="R148" s="163"/>
      <c r="S148" s="63"/>
      <c r="T148" s="63"/>
      <c r="U148" s="63"/>
      <c r="V148" s="333"/>
      <c r="W148" s="65"/>
      <c r="X148" s="175"/>
    </row>
    <row r="149" spans="1:24" s="16" customFormat="1">
      <c r="A149" s="54">
        <v>3</v>
      </c>
      <c r="B149" s="97" t="s">
        <v>583</v>
      </c>
      <c r="C149" s="46"/>
      <c r="D149" s="46"/>
      <c r="E149" s="46"/>
      <c r="F149" s="356"/>
      <c r="G149" s="425"/>
      <c r="H149" s="459"/>
      <c r="I149" s="356"/>
      <c r="J149" s="430"/>
      <c r="K149" s="453"/>
      <c r="L149" s="439"/>
      <c r="M149" s="358"/>
      <c r="N149" s="357"/>
      <c r="O149" s="359"/>
      <c r="P149" s="359"/>
      <c r="Q149" s="163">
        <f t="shared" si="29"/>
        <v>0</v>
      </c>
      <c r="R149" s="163"/>
      <c r="S149" s="359"/>
      <c r="T149" s="359"/>
      <c r="U149" s="359"/>
      <c r="V149" s="471"/>
      <c r="W149" s="53"/>
      <c r="X149" s="175">
        <f>SUM(W153:W188)</f>
        <v>86329000</v>
      </c>
    </row>
    <row r="150" spans="1:24" s="16" customFormat="1">
      <c r="A150" s="79"/>
      <c r="B150" s="97"/>
      <c r="C150" s="4"/>
      <c r="D150" s="4"/>
      <c r="E150" s="4"/>
      <c r="F150" s="82"/>
      <c r="G150" s="419"/>
      <c r="H150" s="454"/>
      <c r="I150" s="82"/>
      <c r="J150" s="115"/>
      <c r="K150" s="116"/>
      <c r="L150" s="64"/>
      <c r="M150" s="48"/>
      <c r="N150" s="47"/>
      <c r="O150" s="63"/>
      <c r="P150" s="63"/>
      <c r="Q150" s="163">
        <f t="shared" si="29"/>
        <v>0</v>
      </c>
      <c r="R150" s="163"/>
      <c r="S150" s="63"/>
      <c r="T150" s="63"/>
      <c r="U150" s="63"/>
      <c r="V150" s="333"/>
      <c r="W150" s="65"/>
      <c r="X150" s="175"/>
    </row>
    <row r="151" spans="1:24" s="16" customFormat="1">
      <c r="A151" s="54" t="s">
        <v>49</v>
      </c>
      <c r="B151" s="97" t="s">
        <v>501</v>
      </c>
      <c r="C151" s="4"/>
      <c r="D151" s="4"/>
      <c r="E151" s="4"/>
      <c r="F151" s="82"/>
      <c r="G151" s="419"/>
      <c r="H151" s="454"/>
      <c r="I151" s="82"/>
      <c r="J151" s="115"/>
      <c r="K151" s="116"/>
      <c r="L151" s="64"/>
      <c r="M151" s="48"/>
      <c r="N151" s="47"/>
      <c r="O151" s="63"/>
      <c r="P151" s="63"/>
      <c r="Q151" s="163">
        <f t="shared" si="29"/>
        <v>0</v>
      </c>
      <c r="R151" s="163"/>
      <c r="S151" s="63"/>
      <c r="T151" s="63"/>
      <c r="U151" s="63"/>
      <c r="V151" s="333"/>
      <c r="W151" s="65"/>
      <c r="X151" s="27">
        <f>SUM(W153:W166)</f>
        <v>4385000</v>
      </c>
    </row>
    <row r="152" spans="1:24" s="16" customFormat="1">
      <c r="A152" s="79"/>
      <c r="B152" s="55" t="s">
        <v>42</v>
      </c>
      <c r="C152" s="46"/>
      <c r="D152" s="4"/>
      <c r="E152" s="4"/>
      <c r="F152" s="52"/>
      <c r="G152" s="419"/>
      <c r="H152" s="458"/>
      <c r="I152" s="52"/>
      <c r="J152" s="419"/>
      <c r="K152" s="448"/>
      <c r="L152" s="83"/>
      <c r="M152" s="80"/>
      <c r="N152" s="81"/>
      <c r="O152" s="65"/>
      <c r="P152" s="65"/>
      <c r="Q152" s="163">
        <f t="shared" si="29"/>
        <v>0</v>
      </c>
      <c r="R152" s="163"/>
      <c r="S152" s="65"/>
      <c r="T152" s="65"/>
      <c r="U152" s="65"/>
      <c r="V152" s="381"/>
      <c r="W152" s="65"/>
      <c r="X152" s="175"/>
    </row>
    <row r="153" spans="1:24" s="16" customFormat="1">
      <c r="A153" s="79"/>
      <c r="B153" s="360" t="s">
        <v>44</v>
      </c>
      <c r="C153" s="4"/>
      <c r="D153" s="4"/>
      <c r="E153" s="4"/>
      <c r="F153" s="52"/>
      <c r="G153" s="419">
        <v>10</v>
      </c>
      <c r="H153" s="454" t="s">
        <v>30</v>
      </c>
      <c r="I153" s="389" t="s">
        <v>27</v>
      </c>
      <c r="J153" s="115">
        <v>2</v>
      </c>
      <c r="K153" s="116" t="s">
        <v>26</v>
      </c>
      <c r="L153" s="64" t="s">
        <v>27</v>
      </c>
      <c r="M153" s="48" t="s">
        <v>28</v>
      </c>
      <c r="N153" s="47">
        <v>25000</v>
      </c>
      <c r="O153" s="63">
        <f>N153*J153*G153</f>
        <v>500000</v>
      </c>
      <c r="P153" s="63"/>
      <c r="Q153" s="163"/>
      <c r="R153" s="163"/>
      <c r="S153" s="63"/>
      <c r="T153" s="63"/>
      <c r="U153" s="50"/>
      <c r="V153" s="333"/>
      <c r="W153" s="49">
        <f t="shared" ref="W153" si="30">SUM(O153:V153)</f>
        <v>500000</v>
      </c>
      <c r="X153" s="175"/>
    </row>
    <row r="154" spans="1:24" s="16" customFormat="1">
      <c r="A154" s="79"/>
      <c r="B154" s="360" t="s">
        <v>528</v>
      </c>
      <c r="C154" s="4"/>
      <c r="D154" s="4"/>
      <c r="E154" s="4"/>
      <c r="F154" s="52"/>
      <c r="G154" s="419">
        <v>5</v>
      </c>
      <c r="H154" s="454" t="s">
        <v>47</v>
      </c>
      <c r="I154" s="389" t="s">
        <v>27</v>
      </c>
      <c r="J154" s="115">
        <v>1</v>
      </c>
      <c r="K154" s="116" t="s">
        <v>200</v>
      </c>
      <c r="L154" s="64" t="s">
        <v>27</v>
      </c>
      <c r="M154" s="48" t="s">
        <v>28</v>
      </c>
      <c r="N154" s="47">
        <v>50000</v>
      </c>
      <c r="O154" s="63">
        <f>N154*J154*G154</f>
        <v>250000</v>
      </c>
      <c r="P154" s="63"/>
      <c r="Q154" s="163"/>
      <c r="R154" s="163"/>
      <c r="S154" s="63"/>
      <c r="T154" s="63"/>
      <c r="U154" s="50"/>
      <c r="V154" s="333"/>
      <c r="W154" s="49">
        <f t="shared" ref="W154:W158" si="31">SUM(O154:V154)</f>
        <v>250000</v>
      </c>
      <c r="X154" s="175"/>
    </row>
    <row r="155" spans="1:24" s="16" customFormat="1">
      <c r="A155" s="79"/>
      <c r="B155" s="360" t="s">
        <v>529</v>
      </c>
      <c r="C155" s="4"/>
      <c r="D155" s="4"/>
      <c r="E155" s="4"/>
      <c r="F155" s="52"/>
      <c r="G155" s="419">
        <v>5</v>
      </c>
      <c r="H155" s="454" t="s">
        <v>47</v>
      </c>
      <c r="I155" s="389" t="s">
        <v>27</v>
      </c>
      <c r="J155" s="115">
        <v>1</v>
      </c>
      <c r="K155" s="116" t="s">
        <v>200</v>
      </c>
      <c r="L155" s="64" t="s">
        <v>27</v>
      </c>
      <c r="M155" s="48" t="s">
        <v>28</v>
      </c>
      <c r="N155" s="47">
        <v>75000</v>
      </c>
      <c r="O155" s="63">
        <f t="shared" ref="O155:O158" si="32">N155*J155*G155</f>
        <v>375000</v>
      </c>
      <c r="P155" s="63"/>
      <c r="Q155" s="163"/>
      <c r="R155" s="163"/>
      <c r="S155" s="63"/>
      <c r="T155" s="63"/>
      <c r="U155" s="50"/>
      <c r="V155" s="333"/>
      <c r="W155" s="49">
        <f t="shared" si="31"/>
        <v>375000</v>
      </c>
      <c r="X155" s="175"/>
    </row>
    <row r="156" spans="1:24" s="16" customFormat="1">
      <c r="A156" s="79"/>
      <c r="B156" s="360" t="s">
        <v>527</v>
      </c>
      <c r="C156" s="4"/>
      <c r="D156" s="4"/>
      <c r="E156" s="4"/>
      <c r="F156" s="52"/>
      <c r="G156" s="419">
        <v>50</v>
      </c>
      <c r="H156" s="454" t="s">
        <v>504</v>
      </c>
      <c r="I156" s="389" t="s">
        <v>27</v>
      </c>
      <c r="J156" s="115">
        <v>1</v>
      </c>
      <c r="K156" s="116" t="s">
        <v>200</v>
      </c>
      <c r="L156" s="64" t="s">
        <v>27</v>
      </c>
      <c r="M156" s="48" t="s">
        <v>28</v>
      </c>
      <c r="N156" s="47">
        <v>3000</v>
      </c>
      <c r="O156" s="63">
        <f t="shared" si="32"/>
        <v>150000</v>
      </c>
      <c r="P156" s="63"/>
      <c r="Q156" s="163"/>
      <c r="R156" s="163"/>
      <c r="S156" s="63"/>
      <c r="T156" s="63"/>
      <c r="U156" s="50"/>
      <c r="V156" s="333"/>
      <c r="W156" s="49">
        <f t="shared" si="31"/>
        <v>150000</v>
      </c>
      <c r="X156" s="175"/>
    </row>
    <row r="157" spans="1:24" s="16" customFormat="1">
      <c r="A157" s="79"/>
      <c r="B157" s="360" t="s">
        <v>530</v>
      </c>
      <c r="C157" s="4"/>
      <c r="D157" s="4"/>
      <c r="E157" s="4"/>
      <c r="F157" s="52"/>
      <c r="G157" s="419">
        <v>5</v>
      </c>
      <c r="H157" s="454" t="s">
        <v>531</v>
      </c>
      <c r="I157" s="389" t="s">
        <v>27</v>
      </c>
      <c r="J157" s="115">
        <v>1</v>
      </c>
      <c r="K157" s="116" t="s">
        <v>200</v>
      </c>
      <c r="L157" s="64" t="s">
        <v>27</v>
      </c>
      <c r="M157" s="48" t="s">
        <v>28</v>
      </c>
      <c r="N157" s="47">
        <v>50000</v>
      </c>
      <c r="O157" s="63">
        <f t="shared" si="32"/>
        <v>250000</v>
      </c>
      <c r="P157" s="63"/>
      <c r="Q157" s="163"/>
      <c r="R157" s="163"/>
      <c r="S157" s="63"/>
      <c r="T157" s="63"/>
      <c r="U157" s="50"/>
      <c r="V157" s="333"/>
      <c r="W157" s="49">
        <f t="shared" si="31"/>
        <v>250000</v>
      </c>
      <c r="X157" s="175"/>
    </row>
    <row r="158" spans="1:24" s="16" customFormat="1">
      <c r="A158" s="79"/>
      <c r="B158" s="360" t="s">
        <v>532</v>
      </c>
      <c r="C158" s="4"/>
      <c r="D158" s="4"/>
      <c r="E158" s="4"/>
      <c r="F158" s="52"/>
      <c r="G158" s="419">
        <v>1</v>
      </c>
      <c r="H158" s="454" t="s">
        <v>72</v>
      </c>
      <c r="I158" s="389" t="s">
        <v>27</v>
      </c>
      <c r="J158" s="115">
        <v>1</v>
      </c>
      <c r="K158" s="116" t="s">
        <v>200</v>
      </c>
      <c r="L158" s="64" t="s">
        <v>27</v>
      </c>
      <c r="M158" s="48" t="s">
        <v>28</v>
      </c>
      <c r="N158" s="47">
        <v>200000</v>
      </c>
      <c r="O158" s="63">
        <f t="shared" si="32"/>
        <v>200000</v>
      </c>
      <c r="P158" s="63"/>
      <c r="Q158" s="163"/>
      <c r="R158" s="163"/>
      <c r="S158" s="63"/>
      <c r="T158" s="63"/>
      <c r="U158" s="50"/>
      <c r="V158" s="333"/>
      <c r="W158" s="49">
        <f t="shared" si="31"/>
        <v>200000</v>
      </c>
      <c r="X158" s="175"/>
    </row>
    <row r="159" spans="1:24" s="16" customFormat="1">
      <c r="A159" s="79"/>
      <c r="B159" s="360" t="s">
        <v>542</v>
      </c>
      <c r="C159" s="4"/>
      <c r="D159" s="4"/>
      <c r="E159" s="4"/>
      <c r="F159" s="52"/>
      <c r="G159" s="419">
        <v>5</v>
      </c>
      <c r="H159" s="454" t="s">
        <v>47</v>
      </c>
      <c r="I159" s="389" t="s">
        <v>27</v>
      </c>
      <c r="J159" s="115">
        <v>1</v>
      </c>
      <c r="K159" s="116" t="s">
        <v>200</v>
      </c>
      <c r="L159" s="64" t="s">
        <v>27</v>
      </c>
      <c r="M159" s="48" t="s">
        <v>28</v>
      </c>
      <c r="N159" s="47">
        <v>200000</v>
      </c>
      <c r="O159" s="63">
        <f t="shared" ref="O159" si="33">N159*J159*G159</f>
        <v>1000000</v>
      </c>
      <c r="P159" s="63"/>
      <c r="Q159" s="163"/>
      <c r="R159" s="163"/>
      <c r="S159" s="63"/>
      <c r="T159" s="63"/>
      <c r="U159" s="50"/>
      <c r="V159" s="333"/>
      <c r="W159" s="49">
        <f t="shared" ref="W159" si="34">SUM(O159:V159)</f>
        <v>1000000</v>
      </c>
      <c r="X159" s="175"/>
    </row>
    <row r="160" spans="1:24" s="16" customFormat="1">
      <c r="A160" s="79"/>
      <c r="B160" s="360" t="s">
        <v>543</v>
      </c>
      <c r="C160" s="4"/>
      <c r="D160" s="4"/>
      <c r="E160" s="4"/>
      <c r="F160" s="52"/>
      <c r="G160" s="419">
        <v>3</v>
      </c>
      <c r="H160" s="454" t="s">
        <v>544</v>
      </c>
      <c r="I160" s="389" t="s">
        <v>27</v>
      </c>
      <c r="J160" s="115">
        <v>1</v>
      </c>
      <c r="K160" s="116" t="s">
        <v>200</v>
      </c>
      <c r="L160" s="64" t="s">
        <v>27</v>
      </c>
      <c r="M160" s="48" t="s">
        <v>28</v>
      </c>
      <c r="N160" s="47">
        <v>25000</v>
      </c>
      <c r="O160" s="63">
        <f t="shared" ref="O160" si="35">N160*J160*G160</f>
        <v>75000</v>
      </c>
      <c r="P160" s="63"/>
      <c r="Q160" s="163"/>
      <c r="R160" s="163"/>
      <c r="S160" s="63"/>
      <c r="T160" s="63"/>
      <c r="U160" s="50"/>
      <c r="V160" s="333"/>
      <c r="W160" s="49">
        <f t="shared" ref="W160" si="36">SUM(O160:V160)</f>
        <v>75000</v>
      </c>
      <c r="X160" s="78"/>
    </row>
    <row r="161" spans="1:24" s="16" customFormat="1">
      <c r="A161" s="79"/>
      <c r="B161" s="360" t="s">
        <v>545</v>
      </c>
      <c r="C161" s="4"/>
      <c r="D161" s="4"/>
      <c r="E161" s="4"/>
      <c r="F161" s="52"/>
      <c r="G161" s="419">
        <v>5</v>
      </c>
      <c r="H161" s="454" t="s">
        <v>47</v>
      </c>
      <c r="I161" s="389" t="s">
        <v>27</v>
      </c>
      <c r="J161" s="115">
        <v>1</v>
      </c>
      <c r="K161" s="116" t="s">
        <v>200</v>
      </c>
      <c r="L161" s="64" t="s">
        <v>27</v>
      </c>
      <c r="M161" s="48" t="s">
        <v>28</v>
      </c>
      <c r="N161" s="47">
        <v>50000</v>
      </c>
      <c r="O161" s="63">
        <f t="shared" ref="O161" si="37">N161*J161*G161</f>
        <v>250000</v>
      </c>
      <c r="P161" s="63"/>
      <c r="Q161" s="163"/>
      <c r="R161" s="163"/>
      <c r="S161" s="63"/>
      <c r="T161" s="63"/>
      <c r="U161" s="50"/>
      <c r="V161" s="333"/>
      <c r="W161" s="49">
        <f t="shared" ref="W161" si="38">SUM(O161:V161)</f>
        <v>250000</v>
      </c>
    </row>
    <row r="162" spans="1:24" s="16" customFormat="1">
      <c r="A162" s="79"/>
      <c r="B162" s="360" t="s">
        <v>546</v>
      </c>
      <c r="C162" s="4"/>
      <c r="D162" s="4"/>
      <c r="E162" s="4"/>
      <c r="F162" s="52"/>
      <c r="G162" s="419">
        <v>1</v>
      </c>
      <c r="H162" s="454" t="s">
        <v>548</v>
      </c>
      <c r="I162" s="389" t="s">
        <v>27</v>
      </c>
      <c r="J162" s="115">
        <v>1</v>
      </c>
      <c r="K162" s="116" t="s">
        <v>200</v>
      </c>
      <c r="L162" s="64" t="s">
        <v>27</v>
      </c>
      <c r="M162" s="48" t="s">
        <v>28</v>
      </c>
      <c r="N162" s="47">
        <v>50000</v>
      </c>
      <c r="O162" s="63">
        <f t="shared" ref="O162" si="39">N162*J162*G162</f>
        <v>50000</v>
      </c>
      <c r="P162" s="63"/>
      <c r="Q162" s="163"/>
      <c r="R162" s="163"/>
      <c r="S162" s="63"/>
      <c r="T162" s="63"/>
      <c r="U162" s="50"/>
      <c r="V162" s="333"/>
      <c r="W162" s="49">
        <f t="shared" ref="W162" si="40">SUM(O162:V162)</f>
        <v>50000</v>
      </c>
      <c r="X162" s="175"/>
    </row>
    <row r="163" spans="1:24" s="16" customFormat="1">
      <c r="A163" s="79"/>
      <c r="B163" s="360" t="s">
        <v>547</v>
      </c>
      <c r="C163" s="4"/>
      <c r="D163" s="4"/>
      <c r="E163" s="4"/>
      <c r="F163" s="52"/>
      <c r="G163" s="419">
        <v>1</v>
      </c>
      <c r="H163" s="454" t="s">
        <v>548</v>
      </c>
      <c r="I163" s="389" t="s">
        <v>27</v>
      </c>
      <c r="J163" s="115">
        <v>1</v>
      </c>
      <c r="K163" s="116" t="s">
        <v>200</v>
      </c>
      <c r="L163" s="64" t="s">
        <v>27</v>
      </c>
      <c r="M163" s="48" t="s">
        <v>28</v>
      </c>
      <c r="N163" s="47">
        <v>50000</v>
      </c>
      <c r="O163" s="63">
        <f t="shared" ref="O163:O164" si="41">N163*J163*G163</f>
        <v>50000</v>
      </c>
      <c r="P163" s="63"/>
      <c r="Q163" s="163"/>
      <c r="R163" s="163"/>
      <c r="S163" s="63"/>
      <c r="T163" s="63"/>
      <c r="U163" s="50"/>
      <c r="V163" s="333"/>
      <c r="W163" s="49">
        <f t="shared" ref="W163:W164" si="42">SUM(O163:V163)</f>
        <v>50000</v>
      </c>
      <c r="X163" s="175"/>
    </row>
    <row r="164" spans="1:24" s="16" customFormat="1">
      <c r="A164" s="79"/>
      <c r="B164" s="360" t="s">
        <v>584</v>
      </c>
      <c r="C164" s="4"/>
      <c r="D164" s="4"/>
      <c r="E164" s="4"/>
      <c r="F164" s="52"/>
      <c r="G164" s="419">
        <v>1</v>
      </c>
      <c r="H164" s="454" t="s">
        <v>544</v>
      </c>
      <c r="I164" s="389" t="s">
        <v>27</v>
      </c>
      <c r="J164" s="115">
        <v>1</v>
      </c>
      <c r="K164" s="116" t="s">
        <v>200</v>
      </c>
      <c r="L164" s="64" t="s">
        <v>27</v>
      </c>
      <c r="M164" s="48" t="s">
        <v>28</v>
      </c>
      <c r="N164" s="47">
        <v>135000</v>
      </c>
      <c r="O164" s="63">
        <f t="shared" si="41"/>
        <v>135000</v>
      </c>
      <c r="P164" s="63"/>
      <c r="Q164" s="163"/>
      <c r="R164" s="163"/>
      <c r="S164" s="63"/>
      <c r="T164" s="63"/>
      <c r="U164" s="50"/>
      <c r="V164" s="333"/>
      <c r="W164" s="49">
        <f t="shared" si="42"/>
        <v>135000</v>
      </c>
      <c r="X164" s="175"/>
    </row>
    <row r="165" spans="1:24" s="16" customFormat="1">
      <c r="A165" s="79"/>
      <c r="B165" s="360" t="s">
        <v>549</v>
      </c>
      <c r="C165" s="4"/>
      <c r="D165" s="4"/>
      <c r="E165" s="4"/>
      <c r="F165" s="52"/>
      <c r="G165" s="419">
        <v>5</v>
      </c>
      <c r="H165" s="454" t="s">
        <v>47</v>
      </c>
      <c r="I165" s="389" t="s">
        <v>27</v>
      </c>
      <c r="J165" s="115">
        <v>1</v>
      </c>
      <c r="K165" s="116" t="s">
        <v>200</v>
      </c>
      <c r="L165" s="64" t="s">
        <v>27</v>
      </c>
      <c r="M165" s="48" t="s">
        <v>28</v>
      </c>
      <c r="N165" s="47">
        <v>200000</v>
      </c>
      <c r="O165" s="63">
        <f t="shared" ref="O165" si="43">N165*J165*G165</f>
        <v>1000000</v>
      </c>
      <c r="P165" s="63"/>
      <c r="Q165" s="163"/>
      <c r="R165" s="163"/>
      <c r="S165" s="63"/>
      <c r="T165" s="63"/>
      <c r="U165" s="50"/>
      <c r="V165" s="333"/>
      <c r="W165" s="49">
        <f t="shared" ref="W165" si="44">SUM(O165:V165)</f>
        <v>1000000</v>
      </c>
      <c r="X165" s="175"/>
    </row>
    <row r="166" spans="1:24" s="16" customFormat="1">
      <c r="A166" s="79"/>
      <c r="B166" s="360" t="s">
        <v>539</v>
      </c>
      <c r="C166" s="4"/>
      <c r="D166" s="4"/>
      <c r="E166" s="4"/>
      <c r="F166" s="52"/>
      <c r="G166" s="419">
        <v>1</v>
      </c>
      <c r="H166" s="454" t="s">
        <v>200</v>
      </c>
      <c r="I166" s="389" t="s">
        <v>27</v>
      </c>
      <c r="J166" s="115">
        <v>1</v>
      </c>
      <c r="K166" s="116" t="s">
        <v>200</v>
      </c>
      <c r="L166" s="64" t="s">
        <v>27</v>
      </c>
      <c r="M166" s="48" t="s">
        <v>28</v>
      </c>
      <c r="N166" s="47">
        <v>100000</v>
      </c>
      <c r="O166" s="63">
        <f t="shared" ref="O166" si="45">N166*J166*G166</f>
        <v>100000</v>
      </c>
      <c r="P166" s="63"/>
      <c r="Q166" s="163"/>
      <c r="R166" s="163"/>
      <c r="S166" s="63"/>
      <c r="T166" s="63"/>
      <c r="U166" s="50"/>
      <c r="V166" s="333"/>
      <c r="W166" s="49">
        <f t="shared" ref="W166" si="46">SUM(O166:V166)</f>
        <v>100000</v>
      </c>
      <c r="X166" s="175"/>
    </row>
    <row r="167" spans="1:24" s="16" customFormat="1">
      <c r="A167" s="79"/>
      <c r="B167" s="97"/>
      <c r="C167" s="4"/>
      <c r="D167" s="4"/>
      <c r="E167" s="4"/>
      <c r="F167" s="82"/>
      <c r="G167" s="419"/>
      <c r="H167" s="454"/>
      <c r="I167" s="82"/>
      <c r="J167" s="115"/>
      <c r="K167" s="116"/>
      <c r="L167" s="64"/>
      <c r="M167" s="48"/>
      <c r="N167" s="47"/>
      <c r="O167" s="63"/>
      <c r="P167" s="63"/>
      <c r="Q167" s="163">
        <f t="shared" si="29"/>
        <v>0</v>
      </c>
      <c r="R167" s="163"/>
      <c r="S167" s="63"/>
      <c r="T167" s="63"/>
      <c r="U167" s="63"/>
      <c r="V167" s="333"/>
      <c r="W167" s="65"/>
      <c r="X167" s="175"/>
    </row>
    <row r="168" spans="1:24" s="16" customFormat="1">
      <c r="A168" s="54" t="s">
        <v>50</v>
      </c>
      <c r="B168" s="380" t="s">
        <v>500</v>
      </c>
      <c r="C168" s="4"/>
      <c r="D168" s="4"/>
      <c r="E168" s="4"/>
      <c r="F168" s="52"/>
      <c r="G168" s="419"/>
      <c r="H168" s="454"/>
      <c r="I168" s="82"/>
      <c r="J168" s="431"/>
      <c r="K168" s="454"/>
      <c r="L168" s="389"/>
      <c r="M168" s="82"/>
      <c r="N168" s="82"/>
      <c r="O168" s="171"/>
      <c r="P168" s="171"/>
      <c r="Q168" s="163">
        <f t="shared" si="29"/>
        <v>0</v>
      </c>
      <c r="R168" s="163"/>
      <c r="S168" s="63"/>
      <c r="T168" s="63"/>
      <c r="V168" s="333"/>
      <c r="W168" s="49"/>
      <c r="X168" s="175">
        <f>SUM(W170:W184)</f>
        <v>81644000</v>
      </c>
    </row>
    <row r="169" spans="1:24" s="16" customFormat="1">
      <c r="A169" s="79"/>
      <c r="B169" s="309" t="s">
        <v>64</v>
      </c>
      <c r="C169" s="4"/>
      <c r="D169" s="4"/>
      <c r="E169" s="4"/>
      <c r="F169" s="52"/>
      <c r="G169" s="419"/>
      <c r="H169" s="454"/>
      <c r="I169" s="82"/>
      <c r="J169" s="417"/>
      <c r="K169" s="443"/>
      <c r="L169" s="432"/>
      <c r="N169" s="47"/>
      <c r="O169" s="63"/>
      <c r="P169" s="63"/>
      <c r="Q169" s="163">
        <f t="shared" si="29"/>
        <v>0</v>
      </c>
      <c r="R169" s="163"/>
      <c r="S169" s="63"/>
      <c r="T169" s="63"/>
      <c r="U169" s="63"/>
      <c r="V169" s="333"/>
      <c r="W169" s="49">
        <f t="shared" ref="W169:W190" si="47">SUM(O169:V169)</f>
        <v>0</v>
      </c>
      <c r="X169" s="175"/>
    </row>
    <row r="170" spans="1:24" s="16" customFormat="1">
      <c r="A170" s="79"/>
      <c r="B170" s="360" t="s">
        <v>417</v>
      </c>
      <c r="C170" s="4"/>
      <c r="D170" s="4"/>
      <c r="E170" s="4"/>
      <c r="F170" s="52"/>
      <c r="G170" s="115">
        <v>3</v>
      </c>
      <c r="H170" s="116" t="s">
        <v>30</v>
      </c>
      <c r="I170" s="48" t="s">
        <v>27</v>
      </c>
      <c r="J170" s="115">
        <v>3</v>
      </c>
      <c r="K170" s="116" t="s">
        <v>78</v>
      </c>
      <c r="L170" s="64" t="s">
        <v>27</v>
      </c>
      <c r="M170" s="48" t="s">
        <v>28</v>
      </c>
      <c r="N170" s="47">
        <v>1000000</v>
      </c>
      <c r="O170" s="63"/>
      <c r="P170" s="63"/>
      <c r="Q170" s="163"/>
      <c r="R170" s="163"/>
      <c r="S170" s="63"/>
      <c r="T170" s="63"/>
      <c r="U170" s="63"/>
      <c r="V170" s="47">
        <f>SUM(G170*J170*N170)</f>
        <v>9000000</v>
      </c>
      <c r="W170" s="49">
        <f t="shared" si="47"/>
        <v>9000000</v>
      </c>
      <c r="X170" s="175"/>
    </row>
    <row r="171" spans="1:24" s="16" customFormat="1">
      <c r="A171" s="79"/>
      <c r="B171" s="360"/>
      <c r="C171" s="4"/>
      <c r="D171" s="4"/>
      <c r="E171" s="4"/>
      <c r="F171" s="52"/>
      <c r="G171" s="115"/>
      <c r="H171" s="116"/>
      <c r="I171" s="48"/>
      <c r="J171" s="115"/>
      <c r="K171" s="116"/>
      <c r="L171" s="64"/>
      <c r="M171" s="48"/>
      <c r="N171" s="47"/>
      <c r="O171" s="63"/>
      <c r="P171" s="63"/>
      <c r="Q171" s="163"/>
      <c r="R171" s="163"/>
      <c r="S171" s="63"/>
      <c r="T171" s="63"/>
      <c r="U171" s="63"/>
      <c r="V171" s="47"/>
      <c r="W171" s="49"/>
      <c r="X171" s="175"/>
    </row>
    <row r="172" spans="1:24" s="16" customFormat="1">
      <c r="A172" s="79"/>
      <c r="B172" s="380" t="s">
        <v>29</v>
      </c>
      <c r="C172" s="4"/>
      <c r="D172" s="4"/>
      <c r="E172" s="4"/>
      <c r="F172" s="52"/>
      <c r="G172" s="115"/>
      <c r="H172" s="116"/>
      <c r="I172" s="48"/>
      <c r="J172" s="115"/>
      <c r="K172" s="116"/>
      <c r="L172" s="64"/>
      <c r="M172" s="48"/>
      <c r="N172" s="47"/>
      <c r="O172" s="63"/>
      <c r="P172" s="63"/>
      <c r="Q172" s="163"/>
      <c r="R172" s="163"/>
      <c r="S172" s="63"/>
      <c r="T172" s="63"/>
      <c r="U172" s="63"/>
      <c r="V172" s="47"/>
      <c r="W172" s="49"/>
      <c r="X172" s="175"/>
    </row>
    <row r="173" spans="1:24">
      <c r="A173" s="79"/>
      <c r="B173" s="360" t="s">
        <v>489</v>
      </c>
      <c r="C173" s="4"/>
      <c r="D173" s="4"/>
      <c r="E173" s="4"/>
      <c r="F173" s="52"/>
      <c r="G173" s="115">
        <v>2</v>
      </c>
      <c r="H173" s="116" t="s">
        <v>30</v>
      </c>
      <c r="I173" s="48" t="s">
        <v>27</v>
      </c>
      <c r="J173" s="115">
        <v>20</v>
      </c>
      <c r="K173" s="116" t="s">
        <v>31</v>
      </c>
      <c r="L173" s="64" t="s">
        <v>27</v>
      </c>
      <c r="M173" s="48" t="s">
        <v>28</v>
      </c>
      <c r="N173" s="47">
        <v>200000</v>
      </c>
      <c r="O173" s="63"/>
      <c r="P173" s="63">
        <f>N173*J173*G173</f>
        <v>8000000</v>
      </c>
      <c r="Q173" s="163"/>
      <c r="R173" s="163"/>
      <c r="S173" s="63"/>
      <c r="T173" s="63"/>
      <c r="U173" s="63"/>
      <c r="V173" s="47"/>
      <c r="W173" s="49">
        <f>N173*J173*G173</f>
        <v>8000000</v>
      </c>
      <c r="X173" s="29"/>
    </row>
    <row r="174" spans="1:24">
      <c r="A174" s="79"/>
      <c r="B174" s="360"/>
      <c r="C174" s="4"/>
      <c r="D174" s="4"/>
      <c r="E174" s="4"/>
      <c r="F174" s="52"/>
      <c r="G174" s="115"/>
      <c r="H174" s="116"/>
      <c r="I174" s="48"/>
      <c r="J174" s="115"/>
      <c r="K174" s="116"/>
      <c r="L174" s="64"/>
      <c r="M174" s="48"/>
      <c r="N174" s="57"/>
      <c r="O174" s="63"/>
      <c r="P174" s="63"/>
      <c r="Q174" s="163"/>
      <c r="R174" s="163"/>
      <c r="S174" s="63"/>
      <c r="T174" s="63"/>
      <c r="U174" s="63"/>
      <c r="V174" s="47"/>
      <c r="W174" s="49"/>
      <c r="X174" s="29"/>
    </row>
    <row r="175" spans="1:24" s="169" customFormat="1">
      <c r="A175" s="79"/>
      <c r="B175" s="97" t="s">
        <v>593</v>
      </c>
      <c r="C175" s="4"/>
      <c r="D175" s="4"/>
      <c r="E175" s="4"/>
      <c r="F175" s="52"/>
      <c r="G175" s="417"/>
      <c r="H175" s="443"/>
      <c r="I175" s="16"/>
      <c r="J175" s="417"/>
      <c r="K175" s="443"/>
      <c r="L175" s="432"/>
      <c r="M175" s="16"/>
      <c r="N175" s="16"/>
      <c r="O175" s="63"/>
      <c r="P175" s="63"/>
      <c r="Q175" s="163">
        <f t="shared" si="29"/>
        <v>0</v>
      </c>
      <c r="R175" s="163"/>
      <c r="S175" s="63"/>
      <c r="T175" s="63"/>
      <c r="U175" s="63"/>
      <c r="V175" s="333"/>
      <c r="W175" s="49">
        <f t="shared" si="47"/>
        <v>0</v>
      </c>
    </row>
    <row r="176" spans="1:24">
      <c r="A176" s="79"/>
      <c r="B176" s="360" t="s">
        <v>418</v>
      </c>
      <c r="C176" s="4"/>
      <c r="D176" s="4"/>
      <c r="E176" s="4"/>
      <c r="F176" s="52"/>
      <c r="G176" s="115">
        <v>6</v>
      </c>
      <c r="H176" s="116" t="s">
        <v>30</v>
      </c>
      <c r="I176" s="48" t="s">
        <v>27</v>
      </c>
      <c r="J176" s="115">
        <v>20</v>
      </c>
      <c r="K176" s="116" t="s">
        <v>31</v>
      </c>
      <c r="L176" s="64" t="s">
        <v>27</v>
      </c>
      <c r="M176" s="48" t="s">
        <v>28</v>
      </c>
      <c r="N176" s="47">
        <v>110000</v>
      </c>
      <c r="O176" s="63"/>
      <c r="P176" s="63"/>
      <c r="Q176" s="163"/>
      <c r="R176" s="163">
        <f>N176*J176*G176</f>
        <v>13200000</v>
      </c>
      <c r="S176" s="47"/>
      <c r="T176" s="63"/>
      <c r="U176" s="63"/>
      <c r="V176" s="333"/>
      <c r="W176" s="49">
        <f t="shared" si="47"/>
        <v>13200000</v>
      </c>
      <c r="X176" s="29"/>
    </row>
    <row r="177" spans="1:24">
      <c r="A177" s="79"/>
      <c r="B177" s="360" t="s">
        <v>421</v>
      </c>
      <c r="C177" s="4"/>
      <c r="D177" s="4"/>
      <c r="E177" s="4"/>
      <c r="F177" s="52"/>
      <c r="G177" s="115">
        <v>6</v>
      </c>
      <c r="H177" s="116" t="s">
        <v>30</v>
      </c>
      <c r="I177" s="48" t="s">
        <v>27</v>
      </c>
      <c r="J177" s="115">
        <v>20</v>
      </c>
      <c r="K177" s="116" t="s">
        <v>31</v>
      </c>
      <c r="L177" s="64" t="s">
        <v>27</v>
      </c>
      <c r="M177" s="48" t="s">
        <v>28</v>
      </c>
      <c r="N177" s="47">
        <v>170000</v>
      </c>
      <c r="O177" s="63"/>
      <c r="P177" s="63"/>
      <c r="Q177" s="163"/>
      <c r="R177" s="163">
        <f>N177*J177*G177</f>
        <v>20400000</v>
      </c>
      <c r="S177" s="47"/>
      <c r="T177" s="63"/>
      <c r="U177" s="63"/>
      <c r="V177" s="4"/>
      <c r="W177" s="49">
        <f t="shared" si="47"/>
        <v>20400000</v>
      </c>
      <c r="X177" s="29"/>
    </row>
    <row r="178" spans="1:24">
      <c r="A178" s="79"/>
      <c r="B178" s="360"/>
      <c r="C178" s="4"/>
      <c r="D178" s="4"/>
      <c r="E178" s="4"/>
      <c r="F178" s="52"/>
      <c r="G178" s="115"/>
      <c r="H178" s="116"/>
      <c r="I178" s="48"/>
      <c r="J178" s="115"/>
      <c r="K178" s="116"/>
      <c r="L178" s="64"/>
      <c r="M178" s="48"/>
      <c r="N178" s="47"/>
      <c r="O178" s="63"/>
      <c r="P178" s="63"/>
      <c r="Q178" s="163"/>
      <c r="R178" s="163"/>
      <c r="S178" s="47"/>
      <c r="T178" s="63"/>
      <c r="U178" s="63"/>
      <c r="V178" s="4"/>
      <c r="W178" s="49"/>
      <c r="X178" s="29"/>
    </row>
    <row r="179" spans="1:24">
      <c r="A179" s="79"/>
      <c r="B179" s="480" t="s">
        <v>172</v>
      </c>
      <c r="C179" s="4"/>
      <c r="D179" s="4"/>
      <c r="E179" s="4"/>
      <c r="F179" s="52"/>
      <c r="G179" s="115"/>
      <c r="H179" s="116"/>
      <c r="I179" s="48"/>
      <c r="J179" s="115"/>
      <c r="K179" s="116"/>
      <c r="L179" s="64"/>
      <c r="M179" s="48"/>
      <c r="N179" s="47"/>
      <c r="O179" s="63"/>
      <c r="P179" s="63"/>
      <c r="Q179" s="163"/>
      <c r="R179" s="163"/>
      <c r="S179" s="47"/>
      <c r="T179" s="460"/>
      <c r="U179" s="460"/>
      <c r="V179" s="16"/>
      <c r="W179" s="461"/>
      <c r="X179" s="29"/>
    </row>
    <row r="180" spans="1:24" s="16" customFormat="1">
      <c r="A180" s="54"/>
      <c r="B180" s="55" t="s">
        <v>420</v>
      </c>
      <c r="C180" s="56"/>
      <c r="D180" s="4"/>
      <c r="E180" s="47"/>
      <c r="F180" s="4"/>
      <c r="G180" s="115"/>
      <c r="H180" s="116"/>
      <c r="I180" s="48"/>
      <c r="J180" s="115"/>
      <c r="K180" s="116"/>
      <c r="L180" s="64"/>
      <c r="M180" s="48"/>
      <c r="N180" s="57"/>
      <c r="O180" s="49"/>
      <c r="P180" s="49"/>
      <c r="Q180" s="163">
        <f t="shared" si="29"/>
        <v>0</v>
      </c>
      <c r="R180" s="163"/>
      <c r="S180" s="410"/>
      <c r="T180" s="171"/>
      <c r="U180" s="171"/>
      <c r="V180" s="285"/>
      <c r="W180" s="49">
        <f t="shared" si="47"/>
        <v>0</v>
      </c>
      <c r="X180" s="78"/>
    </row>
    <row r="181" spans="1:24" s="16" customFormat="1">
      <c r="A181" s="54"/>
      <c r="B181" s="360" t="s">
        <v>52</v>
      </c>
      <c r="C181" s="4"/>
      <c r="D181" s="4"/>
      <c r="E181" s="47"/>
      <c r="F181" s="4"/>
      <c r="G181" s="115">
        <v>3</v>
      </c>
      <c r="H181" s="116" t="s">
        <v>30</v>
      </c>
      <c r="I181" s="48" t="s">
        <v>27</v>
      </c>
      <c r="J181" s="115">
        <v>1</v>
      </c>
      <c r="K181" s="116" t="s">
        <v>26</v>
      </c>
      <c r="L181" s="64" t="s">
        <v>27</v>
      </c>
      <c r="M181" s="48" t="s">
        <v>28</v>
      </c>
      <c r="N181" s="47">
        <v>7000000</v>
      </c>
      <c r="O181" s="63"/>
      <c r="P181" s="63"/>
      <c r="Q181" s="163"/>
      <c r="R181" s="163"/>
      <c r="S181" s="47">
        <f>N181*J181*G181</f>
        <v>21000000</v>
      </c>
      <c r="T181" s="171"/>
      <c r="U181" s="171"/>
      <c r="V181" s="285"/>
      <c r="W181" s="49">
        <f t="shared" si="47"/>
        <v>21000000</v>
      </c>
      <c r="X181" s="175">
        <f>SUM(W181:W184)</f>
        <v>31044000</v>
      </c>
    </row>
    <row r="182" spans="1:24" s="16" customFormat="1">
      <c r="A182" s="165"/>
      <c r="B182" s="372" t="s">
        <v>259</v>
      </c>
      <c r="C182" s="157"/>
      <c r="D182" s="157"/>
      <c r="E182" s="157"/>
      <c r="F182" s="158"/>
      <c r="G182" s="115">
        <v>3</v>
      </c>
      <c r="H182" s="116" t="s">
        <v>30</v>
      </c>
      <c r="I182" s="64" t="s">
        <v>27</v>
      </c>
      <c r="J182" s="115">
        <v>1</v>
      </c>
      <c r="K182" s="116" t="s">
        <v>200</v>
      </c>
      <c r="L182" s="64" t="s">
        <v>27</v>
      </c>
      <c r="M182" s="48" t="s">
        <v>28</v>
      </c>
      <c r="N182" s="47">
        <f>(174000+170000)*2</f>
        <v>688000</v>
      </c>
      <c r="O182" s="167"/>
      <c r="P182" s="167"/>
      <c r="Q182" s="163"/>
      <c r="R182" s="163"/>
      <c r="S182" s="47">
        <f t="shared" ref="S182:S184" si="48">N182*J182*G182</f>
        <v>2064000</v>
      </c>
      <c r="T182" s="163"/>
      <c r="U182" s="163"/>
      <c r="V182" s="469"/>
      <c r="W182" s="49">
        <f t="shared" si="47"/>
        <v>2064000</v>
      </c>
      <c r="X182" s="175"/>
    </row>
    <row r="183" spans="1:24">
      <c r="A183" s="54"/>
      <c r="B183" s="360" t="s">
        <v>53</v>
      </c>
      <c r="C183" s="4"/>
      <c r="D183" s="4"/>
      <c r="E183" s="47"/>
      <c r="F183" s="4"/>
      <c r="G183" s="115">
        <v>3</v>
      </c>
      <c r="H183" s="116" t="s">
        <v>30</v>
      </c>
      <c r="I183" s="48" t="s">
        <v>27</v>
      </c>
      <c r="J183" s="115">
        <v>2</v>
      </c>
      <c r="K183" s="116" t="s">
        <v>31</v>
      </c>
      <c r="L183" s="64" t="s">
        <v>27</v>
      </c>
      <c r="M183" s="48" t="s">
        <v>28</v>
      </c>
      <c r="N183" s="47">
        <v>430000</v>
      </c>
      <c r="O183" s="63"/>
      <c r="P183" s="63"/>
      <c r="Q183" s="163"/>
      <c r="R183" s="163"/>
      <c r="S183" s="47">
        <f t="shared" si="48"/>
        <v>2580000</v>
      </c>
      <c r="T183" s="171"/>
      <c r="U183" s="171"/>
      <c r="V183" s="285"/>
      <c r="W183" s="49">
        <f t="shared" si="47"/>
        <v>2580000</v>
      </c>
    </row>
    <row r="184" spans="1:24" s="87" customFormat="1">
      <c r="A184" s="54"/>
      <c r="B184" s="360" t="s">
        <v>419</v>
      </c>
      <c r="C184" s="4"/>
      <c r="D184" s="4"/>
      <c r="E184" s="47"/>
      <c r="F184" s="4"/>
      <c r="G184" s="115">
        <v>3</v>
      </c>
      <c r="H184" s="116" t="s">
        <v>30</v>
      </c>
      <c r="I184" s="48" t="s">
        <v>27</v>
      </c>
      <c r="J184" s="115">
        <v>3</v>
      </c>
      <c r="K184" s="116" t="s">
        <v>31</v>
      </c>
      <c r="L184" s="64" t="s">
        <v>27</v>
      </c>
      <c r="M184" s="48" t="s">
        <v>28</v>
      </c>
      <c r="N184" s="47">
        <v>600000</v>
      </c>
      <c r="O184" s="63"/>
      <c r="P184" s="63"/>
      <c r="Q184" s="163"/>
      <c r="R184" s="163"/>
      <c r="S184" s="47">
        <f t="shared" si="48"/>
        <v>5400000</v>
      </c>
      <c r="T184" s="171"/>
      <c r="U184" s="171"/>
      <c r="V184" s="285"/>
      <c r="W184" s="49">
        <f t="shared" si="47"/>
        <v>5400000</v>
      </c>
      <c r="X184" s="176"/>
    </row>
    <row r="185" spans="1:24">
      <c r="A185" s="54"/>
      <c r="B185" s="360"/>
      <c r="C185" s="4"/>
      <c r="D185" s="4"/>
      <c r="E185" s="47"/>
      <c r="F185" s="4"/>
      <c r="G185" s="115"/>
      <c r="H185" s="116"/>
      <c r="I185" s="48"/>
      <c r="J185" s="115"/>
      <c r="K185" s="116"/>
      <c r="L185" s="64"/>
      <c r="M185" s="48"/>
      <c r="N185" s="47"/>
      <c r="O185" s="63"/>
      <c r="P185" s="63"/>
      <c r="Q185" s="63"/>
      <c r="R185" s="63"/>
      <c r="S185" s="47"/>
      <c r="T185" s="171"/>
      <c r="U185" s="171"/>
      <c r="V185" s="285"/>
      <c r="W185" s="49"/>
    </row>
    <row r="186" spans="1:24" s="15" customFormat="1">
      <c r="A186" s="54" t="s">
        <v>55</v>
      </c>
      <c r="B186" s="380" t="s">
        <v>32</v>
      </c>
      <c r="C186" s="4"/>
      <c r="D186" s="4"/>
      <c r="E186" s="47"/>
      <c r="F186" s="4"/>
      <c r="G186" s="115"/>
      <c r="H186" s="116"/>
      <c r="I186" s="48"/>
      <c r="J186" s="115"/>
      <c r="K186" s="116"/>
      <c r="L186" s="64"/>
      <c r="M186" s="48"/>
      <c r="N186" s="47"/>
      <c r="O186" s="63"/>
      <c r="P186" s="63"/>
      <c r="Q186" s="63"/>
      <c r="R186" s="63"/>
      <c r="S186" s="47"/>
      <c r="T186" s="171"/>
      <c r="U186" s="171"/>
      <c r="V186" s="285"/>
      <c r="W186" s="49"/>
      <c r="X186" s="14"/>
    </row>
    <row r="187" spans="1:24" s="15" customFormat="1">
      <c r="A187" s="79"/>
      <c r="B187" s="55" t="s">
        <v>42</v>
      </c>
      <c r="C187" s="46"/>
      <c r="D187" s="4"/>
      <c r="E187" s="4"/>
      <c r="F187" s="52"/>
      <c r="G187" s="419"/>
      <c r="H187" s="458"/>
      <c r="I187" s="52"/>
      <c r="J187" s="419"/>
      <c r="K187" s="448"/>
      <c r="L187" s="83"/>
      <c r="M187" s="80"/>
      <c r="N187" s="81"/>
      <c r="O187" s="65"/>
      <c r="P187" s="65"/>
      <c r="Q187" s="65"/>
      <c r="R187" s="65"/>
      <c r="S187" s="81"/>
      <c r="T187" s="65"/>
      <c r="U187" s="65"/>
      <c r="V187" s="381"/>
      <c r="W187" s="65"/>
      <c r="X187" s="14"/>
    </row>
    <row r="188" spans="1:24" s="15" customFormat="1">
      <c r="A188" s="79"/>
      <c r="B188" s="360" t="s">
        <v>32</v>
      </c>
      <c r="C188" s="4"/>
      <c r="D188" s="4"/>
      <c r="E188" s="4"/>
      <c r="F188" s="52"/>
      <c r="G188" s="419"/>
      <c r="H188" s="454"/>
      <c r="I188" s="82"/>
      <c r="J188" s="115">
        <v>1</v>
      </c>
      <c r="K188" s="116" t="s">
        <v>26</v>
      </c>
      <c r="L188" s="64" t="s">
        <v>27</v>
      </c>
      <c r="M188" s="48" t="s">
        <v>28</v>
      </c>
      <c r="N188" s="47">
        <v>300000</v>
      </c>
      <c r="O188" s="63">
        <f>N188</f>
        <v>300000</v>
      </c>
      <c r="P188" s="63"/>
      <c r="Q188" s="63"/>
      <c r="R188" s="63"/>
      <c r="S188" s="366"/>
      <c r="T188" s="63"/>
      <c r="U188" s="63"/>
      <c r="V188" s="333"/>
      <c r="W188" s="49">
        <f>SUM(O188:V188)</f>
        <v>300000</v>
      </c>
      <c r="X188" s="14"/>
    </row>
    <row r="189" spans="1:24" s="15" customFormat="1">
      <c r="A189" s="79"/>
      <c r="B189" s="360"/>
      <c r="C189" s="4"/>
      <c r="D189" s="4"/>
      <c r="E189" s="4"/>
      <c r="F189" s="52"/>
      <c r="G189" s="115"/>
      <c r="H189" s="116"/>
      <c r="I189" s="48"/>
      <c r="J189" s="115"/>
      <c r="K189" s="116"/>
      <c r="L189" s="64"/>
      <c r="M189" s="48"/>
      <c r="N189" s="47"/>
      <c r="O189" s="63"/>
      <c r="P189" s="63"/>
      <c r="Q189" s="63"/>
      <c r="R189" s="63"/>
      <c r="S189" s="366"/>
      <c r="T189" s="63"/>
      <c r="U189" s="379"/>
      <c r="V189" s="333"/>
      <c r="W189" s="49"/>
      <c r="X189" s="14"/>
    </row>
    <row r="190" spans="1:24" s="15" customFormat="1">
      <c r="A190" s="54"/>
      <c r="B190" s="43"/>
      <c r="C190" s="4"/>
      <c r="D190" s="4"/>
      <c r="E190" s="47"/>
      <c r="F190" s="4"/>
      <c r="G190" s="115"/>
      <c r="H190" s="116"/>
      <c r="I190" s="48"/>
      <c r="J190" s="115"/>
      <c r="K190" s="116"/>
      <c r="L190" s="64"/>
      <c r="M190" s="48"/>
      <c r="N190" s="47"/>
      <c r="O190" s="63"/>
      <c r="P190" s="63"/>
      <c r="Q190" s="63"/>
      <c r="R190" s="350"/>
      <c r="S190" s="410">
        <f>N190*J190*G190</f>
        <v>0</v>
      </c>
      <c r="T190" s="49"/>
      <c r="U190" s="49"/>
      <c r="V190" s="465"/>
      <c r="W190" s="49">
        <f t="shared" si="47"/>
        <v>0</v>
      </c>
      <c r="X190" s="14"/>
    </row>
    <row r="191" spans="1:24" s="15" customFormat="1" ht="13.8" thickBot="1">
      <c r="A191" s="84"/>
      <c r="B191" s="484" t="s">
        <v>33</v>
      </c>
      <c r="C191" s="485"/>
      <c r="D191" s="485"/>
      <c r="E191" s="485"/>
      <c r="F191" s="485"/>
      <c r="G191" s="485"/>
      <c r="H191" s="485"/>
      <c r="I191" s="485"/>
      <c r="J191" s="485"/>
      <c r="K191" s="485"/>
      <c r="L191" s="485"/>
      <c r="M191" s="485"/>
      <c r="N191" s="485"/>
      <c r="O191" s="85">
        <f>SUM(O19:O188)</f>
        <v>9500000</v>
      </c>
      <c r="P191" s="85">
        <f>SUM(P19:P188)</f>
        <v>8000000</v>
      </c>
      <c r="Q191" s="85">
        <f>SUM(Q19:Q188)</f>
        <v>178438000</v>
      </c>
      <c r="R191" s="85">
        <f>SUM(R19:R188)</f>
        <v>33600000</v>
      </c>
      <c r="S191" s="85">
        <f>SUM(S18:S188)</f>
        <v>148289000</v>
      </c>
      <c r="T191" s="85">
        <f>SUM(T18:T147)</f>
        <v>25480000</v>
      </c>
      <c r="U191" s="85">
        <f>SUM(U18:U147)</f>
        <v>2133900000</v>
      </c>
      <c r="V191" s="334">
        <f>SUM(V34:V190)</f>
        <v>17400000</v>
      </c>
      <c r="W191" s="85">
        <f>SUM(W19:W189)</f>
        <v>2554607000</v>
      </c>
      <c r="X191" s="14">
        <f>[1]Dilestarikan!$E$12</f>
        <v>2554607000</v>
      </c>
    </row>
    <row r="192" spans="1:24" s="15" customFormat="1" ht="13.8" thickTop="1">
      <c r="A192" s="88"/>
      <c r="B192" s="29"/>
      <c r="C192" s="29"/>
      <c r="D192" s="29"/>
      <c r="E192" s="29"/>
      <c r="F192" s="89"/>
      <c r="G192" s="426"/>
      <c r="H192" s="455"/>
      <c r="I192" s="89"/>
      <c r="J192" s="426"/>
      <c r="K192" s="455"/>
      <c r="L192" s="440"/>
      <c r="M192" s="89"/>
      <c r="N192" s="29"/>
      <c r="O192" s="28"/>
      <c r="P192" s="28"/>
      <c r="Q192" s="28"/>
      <c r="R192" s="28"/>
      <c r="S192" s="28"/>
      <c r="T192" s="28"/>
      <c r="U192" s="28"/>
      <c r="V192" s="28"/>
      <c r="W192" s="109"/>
      <c r="X192" s="14">
        <f>W191-X191</f>
        <v>0</v>
      </c>
    </row>
    <row r="193" spans="1:24" s="15" customFormat="1">
      <c r="B193" s="131"/>
      <c r="G193" s="427"/>
      <c r="H193" s="456"/>
      <c r="J193" s="427"/>
      <c r="K193" s="456"/>
      <c r="L193" s="441"/>
      <c r="N193" s="20"/>
      <c r="O193" s="20"/>
      <c r="P193" s="20"/>
      <c r="Q193" s="20"/>
      <c r="R193" s="20"/>
      <c r="S193" s="131"/>
      <c r="T193" s="131"/>
      <c r="U193" s="20" t="s">
        <v>633</v>
      </c>
      <c r="W193" s="14"/>
      <c r="X193" s="14"/>
    </row>
    <row r="194" spans="1:24" s="15" customFormat="1">
      <c r="B194" s="131"/>
      <c r="G194" s="427"/>
      <c r="H194" s="456"/>
      <c r="J194" s="427"/>
      <c r="K194" s="456"/>
      <c r="L194" s="441"/>
      <c r="N194" s="20"/>
      <c r="O194" s="20"/>
      <c r="P194" s="20"/>
      <c r="Q194" s="20"/>
      <c r="R194" s="20"/>
      <c r="S194" s="131"/>
      <c r="T194" s="131"/>
      <c r="U194" s="20" t="s">
        <v>176</v>
      </c>
      <c r="W194" s="14"/>
      <c r="X194" s="14">
        <f>X192/5</f>
        <v>0</v>
      </c>
    </row>
    <row r="195" spans="1:24">
      <c r="A195" s="15"/>
      <c r="B195" s="131"/>
      <c r="C195" s="15"/>
      <c r="D195" s="15"/>
      <c r="E195" s="15"/>
      <c r="F195" s="15"/>
      <c r="G195" s="427"/>
      <c r="H195" s="456"/>
      <c r="I195" s="15"/>
      <c r="J195" s="427"/>
      <c r="K195" s="456"/>
      <c r="L195" s="441"/>
      <c r="M195" s="15"/>
      <c r="N195" s="20"/>
      <c r="O195" s="20"/>
      <c r="P195" s="20"/>
      <c r="Q195" s="20"/>
      <c r="R195" s="20"/>
      <c r="S195" s="131"/>
      <c r="T195" s="131"/>
      <c r="U195" s="20" t="s">
        <v>177</v>
      </c>
      <c r="V195" s="15"/>
      <c r="W195" s="14"/>
    </row>
    <row r="196" spans="1:24">
      <c r="A196" s="15"/>
      <c r="B196" s="131"/>
      <c r="C196" s="15"/>
      <c r="D196" s="15"/>
      <c r="E196" s="15"/>
      <c r="F196" s="15"/>
      <c r="G196" s="427"/>
      <c r="H196" s="456"/>
      <c r="I196" s="15"/>
      <c r="J196" s="427"/>
      <c r="K196" s="456"/>
      <c r="L196" s="441"/>
      <c r="M196" s="15"/>
      <c r="N196" s="20"/>
      <c r="O196" s="20"/>
      <c r="P196" s="20"/>
      <c r="Q196" s="20"/>
      <c r="R196" s="20"/>
      <c r="S196" s="131"/>
      <c r="T196" s="131"/>
      <c r="U196" s="20"/>
      <c r="V196" s="15"/>
      <c r="W196" s="14"/>
    </row>
    <row r="197" spans="1:24">
      <c r="A197" s="15"/>
      <c r="B197" s="131"/>
      <c r="C197" s="15"/>
      <c r="D197" s="15"/>
      <c r="E197" s="15"/>
      <c r="F197" s="15"/>
      <c r="G197" s="427"/>
      <c r="H197" s="456"/>
      <c r="I197" s="15"/>
      <c r="J197" s="427"/>
      <c r="K197" s="456"/>
      <c r="L197" s="441"/>
      <c r="M197" s="15"/>
      <c r="N197" s="20"/>
      <c r="O197" s="20"/>
      <c r="P197" s="20"/>
      <c r="Q197" s="20"/>
      <c r="R197" s="20"/>
      <c r="S197" s="131"/>
      <c r="T197" s="131"/>
      <c r="U197" s="20"/>
      <c r="V197" s="15"/>
      <c r="W197" s="14"/>
    </row>
    <row r="198" spans="1:24">
      <c r="A198" s="15"/>
      <c r="B198" s="131"/>
      <c r="C198" s="15"/>
      <c r="D198" s="15"/>
      <c r="E198" s="15"/>
      <c r="F198" s="15"/>
      <c r="G198" s="427"/>
      <c r="H198" s="456"/>
      <c r="I198" s="15"/>
      <c r="J198" s="427"/>
      <c r="K198" s="456"/>
      <c r="L198" s="441"/>
      <c r="M198" s="15"/>
      <c r="N198" s="20"/>
      <c r="O198" s="20"/>
      <c r="P198" s="20"/>
      <c r="Q198" s="20"/>
      <c r="R198" s="20"/>
      <c r="S198" s="131"/>
      <c r="T198" s="131"/>
      <c r="U198" s="20"/>
      <c r="V198" s="15"/>
      <c r="W198" s="14"/>
    </row>
    <row r="199" spans="1:24">
      <c r="A199" s="15"/>
      <c r="B199" s="131"/>
      <c r="C199" s="15"/>
      <c r="D199" s="15"/>
      <c r="E199" s="15"/>
      <c r="F199" s="15"/>
      <c r="G199" s="427"/>
      <c r="H199" s="456"/>
      <c r="I199" s="15"/>
      <c r="J199" s="427"/>
      <c r="K199" s="456"/>
      <c r="L199" s="441"/>
      <c r="M199" s="15"/>
      <c r="N199" s="20"/>
      <c r="O199" s="20"/>
      <c r="P199" s="20"/>
      <c r="Q199" s="20"/>
      <c r="R199" s="20"/>
      <c r="S199" s="131"/>
      <c r="T199" s="131"/>
      <c r="U199" s="20" t="s">
        <v>187</v>
      </c>
      <c r="V199" s="15"/>
      <c r="W199" s="14"/>
    </row>
    <row r="200" spans="1:24">
      <c r="A200" s="15"/>
      <c r="B200" s="131"/>
      <c r="C200" s="15"/>
      <c r="D200" s="15"/>
      <c r="E200" s="15"/>
      <c r="F200" s="15"/>
      <c r="G200" s="427"/>
      <c r="H200" s="456"/>
      <c r="I200" s="15"/>
      <c r="J200" s="427"/>
      <c r="K200" s="456"/>
      <c r="L200" s="441"/>
      <c r="M200" s="15"/>
      <c r="N200" s="20"/>
      <c r="O200" s="20"/>
      <c r="P200" s="20"/>
      <c r="Q200" s="20"/>
      <c r="R200" s="20"/>
      <c r="S200" s="131"/>
      <c r="T200" s="131"/>
      <c r="U200" s="20" t="s">
        <v>174</v>
      </c>
      <c r="V200" s="15"/>
      <c r="W200" s="14"/>
    </row>
    <row r="201" spans="1:24">
      <c r="A201" s="15"/>
      <c r="B201" s="15"/>
      <c r="C201" s="15"/>
      <c r="D201" s="15"/>
      <c r="E201" s="15"/>
      <c r="F201" s="90"/>
      <c r="G201" s="427"/>
      <c r="H201" s="456"/>
      <c r="I201" s="90"/>
      <c r="J201" s="427"/>
      <c r="K201" s="456"/>
      <c r="L201" s="441"/>
      <c r="M201" s="90"/>
      <c r="N201" s="15"/>
      <c r="O201" s="20"/>
      <c r="P201" s="20"/>
      <c r="Q201" s="20"/>
      <c r="R201" s="20"/>
      <c r="S201" s="20"/>
      <c r="T201" s="20"/>
      <c r="U201" s="20"/>
      <c r="V201" s="20"/>
      <c r="W201" s="473"/>
    </row>
  </sheetData>
  <mergeCells count="9">
    <mergeCell ref="B17:N17"/>
    <mergeCell ref="B191:N191"/>
    <mergeCell ref="A1:W1"/>
    <mergeCell ref="A14:A16"/>
    <mergeCell ref="B14:N14"/>
    <mergeCell ref="O14:V14"/>
    <mergeCell ref="W14:W16"/>
    <mergeCell ref="B15:N15"/>
    <mergeCell ref="B16:N16"/>
  </mergeCells>
  <printOptions horizontalCentered="1"/>
  <pageMargins left="0.45" right="0.45" top="0.75" bottom="0.75" header="0.3" footer="0.3"/>
  <pageSetup paperSize="9" scale="85" fitToHeight="6" orientation="landscape" horizontalDpi="4294967293" verticalDpi="4294967293" r:id="rId1"/>
  <headerFooter>
    <oddFooter>&amp;LCagar budaya yang dilestarikan&amp;R&amp;P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200"/>
  <sheetViews>
    <sheetView view="pageBreakPreview" zoomScale="75" zoomScaleSheetLayoutView="75" workbookViewId="0">
      <selection activeCell="R184" sqref="R184"/>
    </sheetView>
  </sheetViews>
  <sheetFormatPr defaultColWidth="8.88671875" defaultRowHeight="13.2"/>
  <cols>
    <col min="1" max="1" width="8.88671875" style="29"/>
    <col min="2" max="2" width="21.6640625" style="29" customWidth="1"/>
    <col min="3" max="3" width="3.5546875" style="29" customWidth="1"/>
    <col min="4" max="4" width="5.33203125" style="29" customWidth="1"/>
    <col min="5" max="5" width="4.5546875" style="29" customWidth="1"/>
    <col min="6" max="6" width="10.33203125" style="89" customWidth="1"/>
    <col min="7" max="7" width="8.88671875" style="89"/>
    <col min="8" max="8" width="5.44140625" style="29" bestFit="1" customWidth="1"/>
    <col min="9" max="9" width="4.6640625" style="89" bestFit="1" customWidth="1"/>
    <col min="10" max="10" width="3" style="89" bestFit="1" customWidth="1"/>
    <col min="11" max="11" width="6.109375" style="29" bestFit="1" customWidth="1"/>
    <col min="12" max="12" width="5.44140625" style="89" bestFit="1" customWidth="1"/>
    <col min="13" max="13" width="3.33203125" style="89" bestFit="1" customWidth="1"/>
    <col min="14" max="14" width="4.5546875" style="89" bestFit="1" customWidth="1"/>
    <col min="15" max="15" width="14.33203125" style="29" bestFit="1" customWidth="1"/>
    <col min="16" max="16" width="14.5546875" style="28" customWidth="1"/>
    <col min="17" max="18" width="13.6640625" style="28" customWidth="1"/>
    <col min="19" max="19" width="15.33203125" style="28" customWidth="1"/>
    <col min="20" max="20" width="15.6640625" style="28" bestFit="1" customWidth="1"/>
    <col min="21" max="21" width="14.44140625" style="34" bestFit="1" customWidth="1"/>
    <col min="22" max="16384" width="8.88671875" style="29"/>
  </cols>
  <sheetData>
    <row r="1" spans="1:21" s="16" customFormat="1">
      <c r="A1" s="486" t="s">
        <v>0</v>
      </c>
      <c r="B1" s="486"/>
      <c r="C1" s="486"/>
      <c r="D1" s="486"/>
      <c r="E1" s="486"/>
      <c r="F1" s="486"/>
      <c r="G1" s="486"/>
      <c r="H1" s="486"/>
      <c r="I1" s="486"/>
      <c r="J1" s="486"/>
      <c r="K1" s="486"/>
      <c r="L1" s="486"/>
      <c r="M1" s="486"/>
      <c r="N1" s="486"/>
      <c r="O1" s="486"/>
      <c r="P1" s="486"/>
      <c r="Q1" s="486"/>
      <c r="R1" s="486"/>
      <c r="S1" s="486"/>
      <c r="T1" s="486"/>
      <c r="U1" s="14"/>
    </row>
    <row r="2" spans="1:21" s="16" customFormat="1">
      <c r="A2" s="296"/>
      <c r="B2" s="296"/>
      <c r="C2" s="296"/>
      <c r="D2" s="18"/>
      <c r="E2" s="296"/>
      <c r="F2" s="296"/>
      <c r="G2" s="296"/>
      <c r="H2" s="296"/>
      <c r="I2" s="296"/>
      <c r="J2" s="296"/>
      <c r="K2" s="296"/>
      <c r="L2" s="296"/>
      <c r="M2" s="296"/>
      <c r="N2" s="19"/>
      <c r="O2" s="19"/>
      <c r="P2" s="19"/>
      <c r="Q2" s="19"/>
      <c r="R2" s="19"/>
      <c r="S2" s="19"/>
      <c r="T2" s="20"/>
      <c r="U2" s="14"/>
    </row>
    <row r="3" spans="1:21" s="16" customFormat="1">
      <c r="A3" s="21" t="s">
        <v>1</v>
      </c>
      <c r="B3" s="21"/>
      <c r="C3" s="22" t="s">
        <v>2</v>
      </c>
      <c r="D3" s="1" t="s">
        <v>236</v>
      </c>
      <c r="E3" s="1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U3" s="78"/>
    </row>
    <row r="4" spans="1:21" s="16" customFormat="1">
      <c r="A4" s="21" t="s">
        <v>4</v>
      </c>
      <c r="B4" s="21"/>
      <c r="C4" s="22" t="s">
        <v>2</v>
      </c>
      <c r="D4" s="1" t="s">
        <v>34</v>
      </c>
      <c r="E4" s="1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U4" s="78"/>
    </row>
    <row r="5" spans="1:21" s="16" customFormat="1">
      <c r="A5" s="21" t="s">
        <v>5</v>
      </c>
      <c r="B5" s="21"/>
      <c r="C5" s="22" t="s">
        <v>2</v>
      </c>
      <c r="D5" s="1" t="s">
        <v>37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U5" s="78"/>
    </row>
    <row r="6" spans="1:21" s="16" customFormat="1">
      <c r="A6" s="21" t="s">
        <v>6</v>
      </c>
      <c r="B6" s="21"/>
      <c r="C6" s="22" t="s">
        <v>2</v>
      </c>
      <c r="D6" s="98" t="s">
        <v>190</v>
      </c>
      <c r="E6" s="1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U6" s="78"/>
    </row>
    <row r="7" spans="1:21" s="16" customFormat="1">
      <c r="A7" s="21" t="s">
        <v>7</v>
      </c>
      <c r="B7" s="21"/>
      <c r="C7" s="22" t="s">
        <v>2</v>
      </c>
      <c r="D7" s="1" t="s">
        <v>35</v>
      </c>
      <c r="E7" s="1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U7" s="78"/>
    </row>
    <row r="8" spans="1:21" s="16" customFormat="1">
      <c r="A8" s="21" t="s">
        <v>8</v>
      </c>
      <c r="B8" s="21"/>
      <c r="C8" s="22" t="s">
        <v>2</v>
      </c>
      <c r="D8" s="16" t="s">
        <v>58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U8" s="78"/>
    </row>
    <row r="9" spans="1:21" s="16" customFormat="1">
      <c r="A9" s="21" t="s">
        <v>9</v>
      </c>
      <c r="B9" s="21"/>
      <c r="C9" s="22" t="s">
        <v>2</v>
      </c>
      <c r="D9" s="13" t="s">
        <v>237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U9" s="78"/>
    </row>
    <row r="10" spans="1:21" s="16" customFormat="1">
      <c r="A10" s="21" t="s">
        <v>10</v>
      </c>
      <c r="B10" s="21"/>
      <c r="C10" s="22" t="s">
        <v>2</v>
      </c>
      <c r="D10" s="1" t="s">
        <v>36</v>
      </c>
      <c r="E10" s="15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U10" s="78"/>
    </row>
    <row r="11" spans="1:21" s="16" customFormat="1">
      <c r="A11" s="21" t="s">
        <v>11</v>
      </c>
      <c r="B11" s="21"/>
      <c r="C11" s="22" t="s">
        <v>2</v>
      </c>
      <c r="D11" s="321">
        <f>C55+C71+C95+C130+C157</f>
        <v>58</v>
      </c>
      <c r="E11" s="15" t="s">
        <v>355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U11" s="78"/>
    </row>
    <row r="12" spans="1:21" s="16" customFormat="1">
      <c r="A12" s="22" t="s">
        <v>12</v>
      </c>
      <c r="C12" s="22" t="s">
        <v>2</v>
      </c>
      <c r="D12" s="23" t="s">
        <v>13</v>
      </c>
      <c r="E12" s="505">
        <f>T182</f>
        <v>306629000</v>
      </c>
      <c r="F12" s="505"/>
      <c r="G12" s="23"/>
      <c r="H12" s="23"/>
      <c r="I12" s="22"/>
      <c r="J12" s="22"/>
      <c r="K12" s="22"/>
      <c r="L12" s="24"/>
      <c r="M12" s="22"/>
      <c r="N12" s="25"/>
      <c r="O12" s="26"/>
      <c r="P12" s="27"/>
      <c r="Q12" s="27"/>
      <c r="R12" s="27"/>
      <c r="S12" s="27"/>
      <c r="T12" s="28"/>
      <c r="U12" s="34"/>
    </row>
    <row r="13" spans="1:21" s="16" customFormat="1" ht="13.8" thickBot="1">
      <c r="A13" s="22"/>
      <c r="B13" s="30"/>
      <c r="F13" s="31"/>
      <c r="G13" s="31"/>
      <c r="H13" s="31"/>
      <c r="J13" s="31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78"/>
    </row>
    <row r="14" spans="1:21" s="16" customFormat="1" ht="28.2" customHeight="1" thickTop="1">
      <c r="A14" s="487" t="s">
        <v>14</v>
      </c>
      <c r="B14" s="490" t="s">
        <v>15</v>
      </c>
      <c r="C14" s="491"/>
      <c r="D14" s="491"/>
      <c r="E14" s="491"/>
      <c r="F14" s="491"/>
      <c r="G14" s="491"/>
      <c r="H14" s="491"/>
      <c r="I14" s="491"/>
      <c r="J14" s="491"/>
      <c r="K14" s="491"/>
      <c r="L14" s="491"/>
      <c r="M14" s="491"/>
      <c r="N14" s="491"/>
      <c r="O14" s="492"/>
      <c r="P14" s="493" t="s">
        <v>357</v>
      </c>
      <c r="Q14" s="493"/>
      <c r="R14" s="493"/>
      <c r="S14" s="203"/>
      <c r="T14" s="495" t="s">
        <v>16</v>
      </c>
      <c r="U14" s="32"/>
    </row>
    <row r="15" spans="1:21" s="16" customFormat="1" ht="26.4">
      <c r="A15" s="488"/>
      <c r="B15" s="498" t="s">
        <v>17</v>
      </c>
      <c r="C15" s="499"/>
      <c r="D15" s="499"/>
      <c r="E15" s="499"/>
      <c r="F15" s="499"/>
      <c r="G15" s="499"/>
      <c r="H15" s="499"/>
      <c r="I15" s="499"/>
      <c r="J15" s="499"/>
      <c r="K15" s="499"/>
      <c r="L15" s="499"/>
      <c r="M15" s="499"/>
      <c r="N15" s="499"/>
      <c r="O15" s="500"/>
      <c r="P15" s="33" t="s">
        <v>18</v>
      </c>
      <c r="Q15" s="33" t="s">
        <v>589</v>
      </c>
      <c r="R15" s="33" t="s">
        <v>63</v>
      </c>
      <c r="S15" s="204" t="s">
        <v>121</v>
      </c>
      <c r="T15" s="496"/>
      <c r="U15" s="32"/>
    </row>
    <row r="16" spans="1:21" s="16" customFormat="1" ht="25.5" customHeight="1">
      <c r="A16" s="489"/>
      <c r="B16" s="501" t="s">
        <v>19</v>
      </c>
      <c r="C16" s="502"/>
      <c r="D16" s="502"/>
      <c r="E16" s="502"/>
      <c r="F16" s="502"/>
      <c r="G16" s="502"/>
      <c r="H16" s="502"/>
      <c r="I16" s="502"/>
      <c r="J16" s="502"/>
      <c r="K16" s="502"/>
      <c r="L16" s="502"/>
      <c r="M16" s="502"/>
      <c r="N16" s="502"/>
      <c r="O16" s="503"/>
      <c r="P16" s="477" t="s">
        <v>20</v>
      </c>
      <c r="Q16" s="478">
        <v>524111</v>
      </c>
      <c r="R16" s="478">
        <v>522141</v>
      </c>
      <c r="S16" s="479">
        <v>522151</v>
      </c>
      <c r="T16" s="497"/>
      <c r="U16" s="32"/>
    </row>
    <row r="17" spans="1:21" s="191" customFormat="1">
      <c r="A17" s="189" t="s">
        <v>21</v>
      </c>
      <c r="B17" s="481">
        <v>2</v>
      </c>
      <c r="C17" s="482"/>
      <c r="D17" s="482"/>
      <c r="E17" s="482"/>
      <c r="F17" s="482"/>
      <c r="G17" s="482"/>
      <c r="H17" s="482"/>
      <c r="I17" s="482"/>
      <c r="J17" s="482"/>
      <c r="K17" s="482"/>
      <c r="L17" s="482"/>
      <c r="M17" s="482"/>
      <c r="N17" s="482"/>
      <c r="O17" s="483"/>
      <c r="P17" s="189">
        <v>3</v>
      </c>
      <c r="Q17" s="189">
        <v>4</v>
      </c>
      <c r="R17" s="189">
        <v>5</v>
      </c>
      <c r="S17" s="189">
        <v>7</v>
      </c>
      <c r="T17" s="189">
        <v>8</v>
      </c>
      <c r="U17" s="190"/>
    </row>
    <row r="18" spans="1:21">
      <c r="A18" s="37"/>
      <c r="B18" s="38"/>
      <c r="C18" s="38"/>
      <c r="D18" s="38"/>
      <c r="E18" s="38"/>
      <c r="F18" s="39"/>
      <c r="G18" s="39"/>
      <c r="H18" s="38"/>
      <c r="I18" s="39"/>
      <c r="J18" s="39"/>
      <c r="K18" s="38"/>
      <c r="L18" s="39"/>
      <c r="M18" s="39"/>
      <c r="N18" s="39"/>
      <c r="O18" s="38"/>
      <c r="P18" s="40"/>
      <c r="Q18" s="40"/>
      <c r="R18" s="40"/>
      <c r="S18" s="40"/>
      <c r="T18" s="40"/>
      <c r="U18" s="41"/>
    </row>
    <row r="19" spans="1:21">
      <c r="A19" s="50"/>
      <c r="B19" s="55" t="s">
        <v>498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378"/>
      <c r="P19" s="43"/>
      <c r="Q19" s="43"/>
      <c r="R19" s="43"/>
      <c r="S19" s="43"/>
      <c r="T19" s="50"/>
      <c r="U19" s="41"/>
    </row>
    <row r="20" spans="1:21">
      <c r="A20" s="54">
        <v>1</v>
      </c>
      <c r="B20" s="55" t="s">
        <v>501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378"/>
      <c r="P20" s="43"/>
      <c r="Q20" s="43"/>
      <c r="R20" s="43"/>
      <c r="S20" s="43"/>
      <c r="T20" s="50"/>
    </row>
    <row r="21" spans="1:21">
      <c r="A21" s="54"/>
      <c r="B21" s="55" t="s">
        <v>42</v>
      </c>
      <c r="C21" s="56"/>
      <c r="D21" s="4"/>
      <c r="E21" s="47"/>
      <c r="F21" s="4"/>
      <c r="G21" s="4"/>
      <c r="H21" s="47"/>
      <c r="I21" s="48"/>
      <c r="J21" s="48"/>
      <c r="K21" s="47"/>
      <c r="L21" s="48"/>
      <c r="M21" s="48"/>
      <c r="N21" s="48"/>
      <c r="O21" s="57"/>
      <c r="P21" s="49"/>
      <c r="Q21" s="49"/>
      <c r="R21" s="49"/>
      <c r="S21" s="49"/>
      <c r="T21" s="171"/>
      <c r="U21" s="29"/>
    </row>
    <row r="22" spans="1:21">
      <c r="A22" s="54"/>
      <c r="B22" s="43" t="s">
        <v>44</v>
      </c>
      <c r="C22" s="47"/>
      <c r="D22" s="48"/>
      <c r="E22" s="48"/>
      <c r="F22" s="47"/>
      <c r="G22" s="4"/>
      <c r="H22" s="47">
        <v>4</v>
      </c>
      <c r="I22" s="48" t="s">
        <v>30</v>
      </c>
      <c r="J22" s="48" t="s">
        <v>27</v>
      </c>
      <c r="K22" s="47">
        <v>6</v>
      </c>
      <c r="L22" s="48" t="s">
        <v>26</v>
      </c>
      <c r="M22" s="48" t="s">
        <v>27</v>
      </c>
      <c r="N22" s="48" t="s">
        <v>28</v>
      </c>
      <c r="O22" s="47">
        <v>50000</v>
      </c>
      <c r="P22" s="49">
        <f>O22*K22*H22</f>
        <v>1200000</v>
      </c>
      <c r="Q22" s="49"/>
      <c r="R22" s="49"/>
      <c r="S22" s="49"/>
      <c r="T22" s="171">
        <f>P22</f>
        <v>1200000</v>
      </c>
      <c r="U22" s="29"/>
    </row>
    <row r="23" spans="1:21">
      <c r="A23" s="54"/>
      <c r="B23" s="43" t="s">
        <v>533</v>
      </c>
      <c r="C23" s="47"/>
      <c r="D23" s="48"/>
      <c r="E23" s="48"/>
      <c r="F23" s="47"/>
      <c r="G23" s="4"/>
      <c r="H23" s="47">
        <v>2</v>
      </c>
      <c r="I23" s="48" t="s">
        <v>47</v>
      </c>
      <c r="J23" s="48" t="s">
        <v>27</v>
      </c>
      <c r="K23" s="47">
        <v>6</v>
      </c>
      <c r="L23" s="48" t="s">
        <v>227</v>
      </c>
      <c r="M23" s="48" t="s">
        <v>27</v>
      </c>
      <c r="N23" s="48" t="s">
        <v>28</v>
      </c>
      <c r="O23" s="47">
        <v>5000</v>
      </c>
      <c r="P23" s="49">
        <f>O23*K23*H23</f>
        <v>60000</v>
      </c>
      <c r="Q23" s="49"/>
      <c r="R23" s="49"/>
      <c r="S23" s="49"/>
      <c r="T23" s="171">
        <f>P23</f>
        <v>60000</v>
      </c>
      <c r="U23" s="29"/>
    </row>
    <row r="24" spans="1:21">
      <c r="A24" s="50"/>
      <c r="B24" s="5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378"/>
      <c r="P24" s="43"/>
      <c r="Q24" s="43"/>
      <c r="R24" s="43"/>
      <c r="S24" s="43"/>
      <c r="T24" s="50"/>
    </row>
    <row r="25" spans="1:21">
      <c r="A25" s="54">
        <v>2</v>
      </c>
      <c r="B25" s="55" t="s">
        <v>499</v>
      </c>
      <c r="C25" s="4"/>
      <c r="D25" s="4"/>
      <c r="E25" s="47"/>
      <c r="F25" s="4"/>
      <c r="G25" s="4"/>
      <c r="H25" s="47"/>
      <c r="I25" s="48"/>
      <c r="J25" s="48"/>
      <c r="K25" s="47"/>
      <c r="L25" s="48"/>
      <c r="M25" s="48"/>
      <c r="N25" s="48"/>
      <c r="O25" s="47"/>
      <c r="P25" s="49"/>
      <c r="Q25" s="49"/>
      <c r="R25" s="49"/>
      <c r="S25" s="49"/>
      <c r="T25" s="171"/>
      <c r="U25" s="29"/>
    </row>
    <row r="26" spans="1:21" s="73" customFormat="1" ht="13.8">
      <c r="A26" s="66" t="s">
        <v>49</v>
      </c>
      <c r="B26" s="55" t="s">
        <v>66</v>
      </c>
      <c r="C26" s="4"/>
      <c r="D26" s="4"/>
      <c r="E26" s="47"/>
      <c r="F26" s="4"/>
      <c r="G26" s="4"/>
      <c r="H26" s="47"/>
      <c r="I26" s="48"/>
      <c r="J26" s="48"/>
      <c r="K26" s="47"/>
      <c r="L26" s="48"/>
      <c r="M26" s="48"/>
      <c r="N26" s="48"/>
      <c r="O26" s="47"/>
      <c r="P26" s="70"/>
      <c r="Q26" s="49">
        <f t="shared" ref="Q26" si="0">O26*K26*H26</f>
        <v>0</v>
      </c>
      <c r="R26" s="71"/>
      <c r="S26" s="49">
        <f>SUM(P26:R26)</f>
        <v>0</v>
      </c>
      <c r="T26" s="171">
        <f t="shared" ref="T26:T85" si="1">SUM(P26:S26)</f>
        <v>0</v>
      </c>
      <c r="U26" s="370">
        <f>SUM(T28:T169)</f>
        <v>303264000</v>
      </c>
    </row>
    <row r="27" spans="1:21">
      <c r="A27" s="54"/>
      <c r="B27" s="104" t="s">
        <v>64</v>
      </c>
      <c r="C27" s="4"/>
      <c r="D27" s="4"/>
      <c r="E27" s="47"/>
      <c r="F27" s="4"/>
      <c r="G27" s="4"/>
      <c r="H27" s="47"/>
      <c r="I27" s="48"/>
      <c r="J27" s="48"/>
      <c r="K27" s="47"/>
      <c r="L27" s="48"/>
      <c r="M27" s="48"/>
      <c r="N27" s="48"/>
      <c r="O27" s="57"/>
      <c r="P27" s="63"/>
      <c r="Q27" s="49"/>
      <c r="R27" s="49"/>
      <c r="S27" s="49">
        <f>SUM(P27:R27)</f>
        <v>0</v>
      </c>
      <c r="T27" s="171">
        <f t="shared" si="1"/>
        <v>0</v>
      </c>
      <c r="U27" s="29"/>
    </row>
    <row r="28" spans="1:21">
      <c r="A28" s="54"/>
      <c r="B28" s="43" t="s">
        <v>65</v>
      </c>
      <c r="C28" s="4"/>
      <c r="D28" s="4"/>
      <c r="E28" s="47"/>
      <c r="F28" s="4"/>
      <c r="G28" s="4"/>
      <c r="H28" s="47">
        <v>2</v>
      </c>
      <c r="I28" s="48" t="s">
        <v>30</v>
      </c>
      <c r="J28" s="48" t="s">
        <v>27</v>
      </c>
      <c r="K28" s="47">
        <v>1</v>
      </c>
      <c r="L28" s="48" t="s">
        <v>31</v>
      </c>
      <c r="M28" s="48" t="s">
        <v>27</v>
      </c>
      <c r="N28" s="48" t="s">
        <v>28</v>
      </c>
      <c r="O28" s="47">
        <v>300000</v>
      </c>
      <c r="P28" s="63"/>
      <c r="Q28" s="49"/>
      <c r="R28" s="49"/>
      <c r="S28" s="49">
        <f>O28*K28*H28</f>
        <v>600000</v>
      </c>
      <c r="T28" s="171">
        <f t="shared" si="1"/>
        <v>600000</v>
      </c>
      <c r="U28" s="29">
        <f>SUM(T28:T40)</f>
        <v>71440000</v>
      </c>
    </row>
    <row r="29" spans="1:21" s="73" customFormat="1" ht="13.8">
      <c r="A29" s="66"/>
      <c r="B29" s="55" t="s">
        <v>172</v>
      </c>
      <c r="C29" s="4"/>
      <c r="D29" s="4"/>
      <c r="E29" s="47"/>
      <c r="F29" s="4"/>
      <c r="G29" s="4"/>
      <c r="H29" s="47"/>
      <c r="I29" s="48"/>
      <c r="J29" s="48"/>
      <c r="K29" s="47"/>
      <c r="L29" s="48"/>
      <c r="M29" s="48"/>
      <c r="N29" s="48"/>
      <c r="O29" s="47"/>
      <c r="P29" s="70"/>
      <c r="Q29" s="49">
        <f t="shared" ref="Q29:Q38" si="2">O29*K29*H29</f>
        <v>0</v>
      </c>
      <c r="R29" s="71"/>
      <c r="S29" s="49">
        <f t="shared" ref="S29" si="3">SUM(P29:R29)</f>
        <v>0</v>
      </c>
      <c r="T29" s="171">
        <f t="shared" si="1"/>
        <v>0</v>
      </c>
    </row>
    <row r="30" spans="1:21">
      <c r="A30" s="54"/>
      <c r="B30" s="43" t="s">
        <v>56</v>
      </c>
      <c r="C30" s="4"/>
      <c r="D30" s="4"/>
      <c r="E30" s="47"/>
      <c r="F30" s="4"/>
      <c r="G30" s="4"/>
      <c r="H30" s="47">
        <v>4</v>
      </c>
      <c r="I30" s="48" t="s">
        <v>30</v>
      </c>
      <c r="J30" s="48" t="s">
        <v>27</v>
      </c>
      <c r="K30" s="47">
        <v>1</v>
      </c>
      <c r="L30" s="48" t="s">
        <v>26</v>
      </c>
      <c r="M30" s="48" t="s">
        <v>27</v>
      </c>
      <c r="N30" s="48" t="s">
        <v>28</v>
      </c>
      <c r="O30" s="47">
        <v>5000000</v>
      </c>
      <c r="P30" s="63"/>
      <c r="Q30" s="49">
        <f t="shared" si="2"/>
        <v>20000000</v>
      </c>
      <c r="R30" s="49"/>
      <c r="S30" s="49"/>
      <c r="T30" s="171">
        <f t="shared" si="1"/>
        <v>20000000</v>
      </c>
      <c r="U30" s="29">
        <f>SUM(T30:T40)</f>
        <v>70840000</v>
      </c>
    </row>
    <row r="31" spans="1:21">
      <c r="A31" s="54"/>
      <c r="B31" s="43" t="s">
        <v>361</v>
      </c>
      <c r="C31" s="4"/>
      <c r="D31" s="4"/>
      <c r="E31" s="47"/>
      <c r="F31" s="4"/>
      <c r="G31" s="4"/>
      <c r="H31" s="47">
        <v>4</v>
      </c>
      <c r="I31" s="48" t="s">
        <v>30</v>
      </c>
      <c r="J31" s="48" t="s">
        <v>27</v>
      </c>
      <c r="K31" s="47">
        <v>1</v>
      </c>
      <c r="L31" s="48" t="s">
        <v>26</v>
      </c>
      <c r="M31" s="48" t="s">
        <v>27</v>
      </c>
      <c r="N31" s="48" t="s">
        <v>28</v>
      </c>
      <c r="O31" s="47">
        <v>1000000</v>
      </c>
      <c r="P31" s="63"/>
      <c r="Q31" s="49">
        <f t="shared" ref="Q31" si="4">O31*K31*H31</f>
        <v>4000000</v>
      </c>
      <c r="R31" s="49"/>
      <c r="S31" s="49"/>
      <c r="T31" s="171">
        <f t="shared" ref="T31:T33" si="5">SUM(P31:S31)</f>
        <v>4000000</v>
      </c>
      <c r="U31" s="29"/>
    </row>
    <row r="32" spans="1:21">
      <c r="A32" s="54"/>
      <c r="B32" s="43" t="s">
        <v>626</v>
      </c>
      <c r="C32" s="4"/>
      <c r="D32" s="4"/>
      <c r="E32" s="47"/>
      <c r="F32" s="4"/>
      <c r="G32" s="4"/>
      <c r="H32" s="47">
        <v>4</v>
      </c>
      <c r="I32" s="48" t="s">
        <v>30</v>
      </c>
      <c r="J32" s="48" t="s">
        <v>27</v>
      </c>
      <c r="K32" s="47">
        <v>1</v>
      </c>
      <c r="L32" s="48" t="s">
        <v>26</v>
      </c>
      <c r="M32" s="48" t="s">
        <v>27</v>
      </c>
      <c r="N32" s="48" t="s">
        <v>28</v>
      </c>
      <c r="O32" s="47">
        <f>174000*2</f>
        <v>348000</v>
      </c>
      <c r="P32" s="63"/>
      <c r="Q32" s="49">
        <f t="shared" ref="Q32" si="6">O32*K32*H32</f>
        <v>1392000</v>
      </c>
      <c r="R32" s="49"/>
      <c r="S32" s="49"/>
      <c r="T32" s="171">
        <f t="shared" si="5"/>
        <v>1392000</v>
      </c>
      <c r="U32" s="29"/>
    </row>
    <row r="33" spans="1:21">
      <c r="A33" s="54"/>
      <c r="B33" s="43" t="s">
        <v>627</v>
      </c>
      <c r="C33" s="4"/>
      <c r="D33" s="4"/>
      <c r="E33" s="47"/>
      <c r="F33" s="4"/>
      <c r="G33" s="4"/>
      <c r="H33" s="47">
        <v>4</v>
      </c>
      <c r="I33" s="48" t="s">
        <v>30</v>
      </c>
      <c r="J33" s="48" t="s">
        <v>27</v>
      </c>
      <c r="K33" s="47">
        <v>1</v>
      </c>
      <c r="L33" s="48" t="s">
        <v>26</v>
      </c>
      <c r="M33" s="48" t="s">
        <v>27</v>
      </c>
      <c r="N33" s="48" t="s">
        <v>28</v>
      </c>
      <c r="O33" s="47">
        <f>2*171000</f>
        <v>342000</v>
      </c>
      <c r="P33" s="63"/>
      <c r="Q33" s="49">
        <f t="shared" ref="Q33" si="7">O33*K33*H33</f>
        <v>1368000</v>
      </c>
      <c r="R33" s="49"/>
      <c r="S33" s="49"/>
      <c r="T33" s="171">
        <f t="shared" si="5"/>
        <v>1368000</v>
      </c>
      <c r="U33" s="29"/>
    </row>
    <row r="34" spans="1:21">
      <c r="A34" s="54"/>
      <c r="B34" s="43" t="s">
        <v>254</v>
      </c>
      <c r="C34" s="4"/>
      <c r="D34" s="4"/>
      <c r="E34" s="47"/>
      <c r="F34" s="4"/>
      <c r="G34" s="4"/>
      <c r="H34" s="47">
        <v>4</v>
      </c>
      <c r="I34" s="48" t="s">
        <v>30</v>
      </c>
      <c r="J34" s="48" t="s">
        <v>27</v>
      </c>
      <c r="K34" s="47">
        <v>1</v>
      </c>
      <c r="L34" s="48" t="s">
        <v>26</v>
      </c>
      <c r="M34" s="48" t="s">
        <v>27</v>
      </c>
      <c r="N34" s="48" t="s">
        <v>28</v>
      </c>
      <c r="O34" s="47">
        <v>200000</v>
      </c>
      <c r="P34" s="63"/>
      <c r="Q34" s="49">
        <f t="shared" si="2"/>
        <v>800000</v>
      </c>
      <c r="R34" s="49"/>
      <c r="S34" s="49"/>
      <c r="T34" s="171">
        <f t="shared" si="1"/>
        <v>800000</v>
      </c>
      <c r="U34" s="29"/>
    </row>
    <row r="35" spans="1:21">
      <c r="A35" s="54"/>
      <c r="B35" s="43" t="s">
        <v>255</v>
      </c>
      <c r="C35" s="4"/>
      <c r="D35" s="4"/>
      <c r="E35" s="47"/>
      <c r="F35" s="4"/>
      <c r="G35" s="4"/>
      <c r="H35" s="47">
        <v>4</v>
      </c>
      <c r="I35" s="48" t="s">
        <v>30</v>
      </c>
      <c r="J35" s="48" t="s">
        <v>27</v>
      </c>
      <c r="K35" s="47">
        <v>1</v>
      </c>
      <c r="L35" s="48" t="s">
        <v>26</v>
      </c>
      <c r="M35" s="48" t="s">
        <v>27</v>
      </c>
      <c r="N35" s="48" t="s">
        <v>28</v>
      </c>
      <c r="O35" s="47">
        <v>100000</v>
      </c>
      <c r="P35" s="63"/>
      <c r="Q35" s="49">
        <f t="shared" si="2"/>
        <v>400000</v>
      </c>
      <c r="R35" s="49"/>
      <c r="S35" s="49"/>
      <c r="T35" s="171">
        <f t="shared" si="1"/>
        <v>400000</v>
      </c>
      <c r="U35" s="29"/>
    </row>
    <row r="36" spans="1:21">
      <c r="A36" s="54"/>
      <c r="B36" s="43" t="s">
        <v>256</v>
      </c>
      <c r="C36" s="4"/>
      <c r="D36" s="4"/>
      <c r="E36" s="47"/>
      <c r="F36" s="4"/>
      <c r="G36" s="4"/>
      <c r="H36" s="47">
        <v>4</v>
      </c>
      <c r="I36" s="48" t="s">
        <v>30</v>
      </c>
      <c r="J36" s="48" t="s">
        <v>27</v>
      </c>
      <c r="K36" s="47">
        <v>1</v>
      </c>
      <c r="L36" s="48" t="s">
        <v>26</v>
      </c>
      <c r="M36" s="48" t="s">
        <v>27</v>
      </c>
      <c r="N36" s="48" t="s">
        <v>28</v>
      </c>
      <c r="O36" s="47">
        <v>500000</v>
      </c>
      <c r="P36" s="63"/>
      <c r="Q36" s="49">
        <f t="shared" si="2"/>
        <v>2000000</v>
      </c>
      <c r="R36" s="49"/>
      <c r="S36" s="49"/>
      <c r="T36" s="171">
        <f t="shared" si="1"/>
        <v>2000000</v>
      </c>
      <c r="U36" s="29"/>
    </row>
    <row r="37" spans="1:21">
      <c r="A37" s="54"/>
      <c r="B37" s="43" t="s">
        <v>257</v>
      </c>
      <c r="C37" s="4"/>
      <c r="D37" s="4"/>
      <c r="E37" s="47"/>
      <c r="F37" s="4"/>
      <c r="G37" s="4"/>
      <c r="H37" s="47">
        <v>4</v>
      </c>
      <c r="I37" s="48" t="s">
        <v>30</v>
      </c>
      <c r="J37" s="48" t="s">
        <v>27</v>
      </c>
      <c r="K37" s="47">
        <v>1</v>
      </c>
      <c r="L37" s="48" t="s">
        <v>26</v>
      </c>
      <c r="M37" s="48" t="s">
        <v>27</v>
      </c>
      <c r="N37" s="48" t="s">
        <v>28</v>
      </c>
      <c r="O37" s="47">
        <v>500000</v>
      </c>
      <c r="P37" s="63"/>
      <c r="Q37" s="49">
        <f t="shared" si="2"/>
        <v>2000000</v>
      </c>
      <c r="R37" s="49"/>
      <c r="S37" s="49"/>
      <c r="T37" s="171">
        <f t="shared" si="1"/>
        <v>2000000</v>
      </c>
      <c r="U37" s="29"/>
    </row>
    <row r="38" spans="1:21">
      <c r="A38" s="54"/>
      <c r="B38" s="43" t="s">
        <v>258</v>
      </c>
      <c r="C38" s="4"/>
      <c r="D38" s="4"/>
      <c r="E38" s="47"/>
      <c r="F38" s="4"/>
      <c r="G38" s="4"/>
      <c r="H38" s="47">
        <v>4</v>
      </c>
      <c r="I38" s="48" t="s">
        <v>30</v>
      </c>
      <c r="J38" s="48" t="s">
        <v>27</v>
      </c>
      <c r="K38" s="47">
        <v>1</v>
      </c>
      <c r="L38" s="48" t="s">
        <v>26</v>
      </c>
      <c r="M38" s="48" t="s">
        <v>27</v>
      </c>
      <c r="N38" s="48" t="s">
        <v>28</v>
      </c>
      <c r="O38" s="47">
        <v>500000</v>
      </c>
      <c r="P38" s="63"/>
      <c r="Q38" s="49">
        <f t="shared" si="2"/>
        <v>2000000</v>
      </c>
      <c r="R38" s="49"/>
      <c r="S38" s="49"/>
      <c r="T38" s="171">
        <f t="shared" si="1"/>
        <v>2000000</v>
      </c>
      <c r="U38" s="29"/>
    </row>
    <row r="39" spans="1:21" s="73" customFormat="1" ht="13.8">
      <c r="A39" s="66"/>
      <c r="B39" s="43" t="s">
        <v>53</v>
      </c>
      <c r="C39" s="4"/>
      <c r="D39" s="4"/>
      <c r="E39" s="47"/>
      <c r="F39" s="4"/>
      <c r="G39" s="4"/>
      <c r="H39" s="47">
        <v>4</v>
      </c>
      <c r="I39" s="48" t="s">
        <v>30</v>
      </c>
      <c r="J39" s="48" t="s">
        <v>27</v>
      </c>
      <c r="K39" s="47">
        <v>14</v>
      </c>
      <c r="L39" s="48" t="s">
        <v>31</v>
      </c>
      <c r="M39" s="48" t="s">
        <v>27</v>
      </c>
      <c r="N39" s="48" t="s">
        <v>28</v>
      </c>
      <c r="O39" s="47">
        <v>380000</v>
      </c>
      <c r="P39" s="70"/>
      <c r="Q39" s="49">
        <f t="shared" ref="Q39:Q40" si="8">O39*K39*H39</f>
        <v>21280000</v>
      </c>
      <c r="R39" s="71"/>
      <c r="S39" s="49"/>
      <c r="T39" s="171">
        <f t="shared" si="1"/>
        <v>21280000</v>
      </c>
    </row>
    <row r="40" spans="1:21" s="73" customFormat="1" ht="13.8">
      <c r="A40" s="66"/>
      <c r="B40" s="43" t="s">
        <v>260</v>
      </c>
      <c r="C40" s="4"/>
      <c r="D40" s="4"/>
      <c r="E40" s="47"/>
      <c r="F40" s="4"/>
      <c r="G40" s="4"/>
      <c r="H40" s="47">
        <v>4</v>
      </c>
      <c r="I40" s="48" t="s">
        <v>30</v>
      </c>
      <c r="J40" s="48" t="s">
        <v>27</v>
      </c>
      <c r="K40" s="47">
        <v>13</v>
      </c>
      <c r="L40" s="48" t="s">
        <v>31</v>
      </c>
      <c r="M40" s="48" t="s">
        <v>27</v>
      </c>
      <c r="N40" s="48" t="s">
        <v>28</v>
      </c>
      <c r="O40" s="47">
        <v>300000</v>
      </c>
      <c r="P40" s="70"/>
      <c r="Q40" s="49">
        <f t="shared" si="8"/>
        <v>15600000</v>
      </c>
      <c r="R40" s="71"/>
      <c r="S40" s="49"/>
      <c r="T40" s="171">
        <f t="shared" si="1"/>
        <v>15600000</v>
      </c>
    </row>
    <row r="41" spans="1:21">
      <c r="A41" s="54"/>
      <c r="B41" s="4"/>
      <c r="C41" s="4"/>
      <c r="D41" s="4"/>
      <c r="E41" s="47"/>
      <c r="F41" s="4"/>
      <c r="G41" s="4"/>
      <c r="H41" s="47"/>
      <c r="I41" s="48"/>
      <c r="J41" s="48"/>
      <c r="K41" s="47"/>
      <c r="L41" s="48"/>
      <c r="M41" s="48"/>
      <c r="N41" s="48"/>
      <c r="O41" s="47"/>
      <c r="P41" s="63"/>
      <c r="Q41" s="49"/>
      <c r="R41" s="63"/>
      <c r="S41" s="49"/>
      <c r="T41" s="171">
        <f t="shared" si="1"/>
        <v>0</v>
      </c>
      <c r="U41" s="29"/>
    </row>
    <row r="42" spans="1:21" ht="14.4">
      <c r="A42" s="54"/>
      <c r="B42" s="4" t="s">
        <v>261</v>
      </c>
      <c r="C42" s="83">
        <v>1</v>
      </c>
      <c r="D42" s="315" t="s">
        <v>262</v>
      </c>
      <c r="E42" s="47"/>
      <c r="F42" s="4"/>
      <c r="G42" s="48"/>
      <c r="H42" s="47"/>
      <c r="I42" s="316" t="s">
        <v>263</v>
      </c>
      <c r="J42" s="48"/>
      <c r="K42" s="47"/>
      <c r="L42" s="48"/>
      <c r="M42" s="48"/>
      <c r="N42" s="48"/>
      <c r="O42" s="47"/>
      <c r="P42" s="63"/>
      <c r="Q42" s="49"/>
      <c r="R42" s="63"/>
      <c r="S42" s="49"/>
      <c r="T42" s="171">
        <f t="shared" si="1"/>
        <v>0</v>
      </c>
      <c r="U42" s="29"/>
    </row>
    <row r="43" spans="1:21" ht="14.4">
      <c r="A43" s="54"/>
      <c r="B43" s="4"/>
      <c r="C43" s="83">
        <v>2</v>
      </c>
      <c r="D43" s="315" t="s">
        <v>264</v>
      </c>
      <c r="E43" s="47"/>
      <c r="F43" s="4"/>
      <c r="G43" s="48"/>
      <c r="H43" s="47"/>
      <c r="I43" s="316" t="s">
        <v>263</v>
      </c>
      <c r="J43" s="48"/>
      <c r="K43" s="47"/>
      <c r="L43" s="48"/>
      <c r="M43" s="48"/>
      <c r="N43" s="48"/>
      <c r="O43" s="47"/>
      <c r="P43" s="63"/>
      <c r="Q43" s="49"/>
      <c r="R43" s="63"/>
      <c r="S43" s="49"/>
      <c r="T43" s="171">
        <f t="shared" si="1"/>
        <v>0</v>
      </c>
      <c r="U43" s="29"/>
    </row>
    <row r="44" spans="1:21" ht="14.4">
      <c r="A44" s="54"/>
      <c r="B44" s="4"/>
      <c r="C44" s="83">
        <v>3</v>
      </c>
      <c r="D44" s="315" t="s">
        <v>265</v>
      </c>
      <c r="E44" s="47"/>
      <c r="F44" s="4"/>
      <c r="G44" s="48"/>
      <c r="H44" s="47"/>
      <c r="I44" s="316" t="s">
        <v>266</v>
      </c>
      <c r="J44" s="48"/>
      <c r="K44" s="47"/>
      <c r="L44" s="48"/>
      <c r="M44" s="48"/>
      <c r="N44" s="48"/>
      <c r="O44" s="47"/>
      <c r="P44" s="63"/>
      <c r="Q44" s="49"/>
      <c r="R44" s="63"/>
      <c r="S44" s="49"/>
      <c r="T44" s="171">
        <f t="shared" si="1"/>
        <v>0</v>
      </c>
      <c r="U44" s="29"/>
    </row>
    <row r="45" spans="1:21" ht="14.4">
      <c r="A45" s="54"/>
      <c r="B45" s="4"/>
      <c r="C45" s="83">
        <v>4</v>
      </c>
      <c r="D45" s="315" t="s">
        <v>267</v>
      </c>
      <c r="E45" s="47"/>
      <c r="F45" s="4"/>
      <c r="G45" s="48"/>
      <c r="H45" s="47"/>
      <c r="I45" s="316" t="s">
        <v>268</v>
      </c>
      <c r="J45" s="48"/>
      <c r="K45" s="47"/>
      <c r="L45" s="48"/>
      <c r="M45" s="48"/>
      <c r="N45" s="48"/>
      <c r="O45" s="47"/>
      <c r="P45" s="63"/>
      <c r="Q45" s="49"/>
      <c r="R45" s="63"/>
      <c r="S45" s="49"/>
      <c r="T45" s="171">
        <f t="shared" si="1"/>
        <v>0</v>
      </c>
      <c r="U45" s="29"/>
    </row>
    <row r="46" spans="1:21" ht="14.4">
      <c r="A46" s="54"/>
      <c r="B46" s="4"/>
      <c r="C46" s="83">
        <v>5</v>
      </c>
      <c r="D46" s="315" t="s">
        <v>269</v>
      </c>
      <c r="E46" s="47"/>
      <c r="F46" s="4"/>
      <c r="G46" s="48"/>
      <c r="H46" s="47"/>
      <c r="I46" s="316" t="s">
        <v>268</v>
      </c>
      <c r="J46" s="48"/>
      <c r="K46" s="47"/>
      <c r="L46" s="48"/>
      <c r="M46" s="48"/>
      <c r="N46" s="48"/>
      <c r="O46" s="47"/>
      <c r="P46" s="63"/>
      <c r="Q46" s="49"/>
      <c r="R46" s="63"/>
      <c r="S46" s="49"/>
      <c r="T46" s="171">
        <f t="shared" si="1"/>
        <v>0</v>
      </c>
      <c r="U46" s="29"/>
    </row>
    <row r="47" spans="1:21" ht="14.4">
      <c r="A47" s="54"/>
      <c r="B47" s="4"/>
      <c r="C47" s="83">
        <v>6</v>
      </c>
      <c r="D47" s="315" t="s">
        <v>270</v>
      </c>
      <c r="E47" s="47"/>
      <c r="F47" s="4"/>
      <c r="G47" s="48"/>
      <c r="H47" s="47"/>
      <c r="I47" s="316" t="s">
        <v>268</v>
      </c>
      <c r="J47" s="48"/>
      <c r="K47" s="47"/>
      <c r="L47" s="48"/>
      <c r="M47" s="48"/>
      <c r="N47" s="48"/>
      <c r="O47" s="47"/>
      <c r="P47" s="63"/>
      <c r="Q47" s="49"/>
      <c r="R47" s="63"/>
      <c r="S47" s="49"/>
      <c r="T47" s="171">
        <f t="shared" si="1"/>
        <v>0</v>
      </c>
      <c r="U47" s="29"/>
    </row>
    <row r="48" spans="1:21" ht="14.4">
      <c r="A48" s="54"/>
      <c r="B48" s="4"/>
      <c r="C48" s="83">
        <v>7</v>
      </c>
      <c r="D48" s="315" t="s">
        <v>271</v>
      </c>
      <c r="E48" s="47"/>
      <c r="F48" s="4"/>
      <c r="G48" s="48"/>
      <c r="H48" s="47"/>
      <c r="I48" s="316" t="s">
        <v>268</v>
      </c>
      <c r="J48" s="48"/>
      <c r="K48" s="47"/>
      <c r="L48" s="48"/>
      <c r="M48" s="48"/>
      <c r="N48" s="48"/>
      <c r="O48" s="47"/>
      <c r="P48" s="63"/>
      <c r="Q48" s="49"/>
      <c r="R48" s="63"/>
      <c r="S48" s="49"/>
      <c r="T48" s="171">
        <f t="shared" si="1"/>
        <v>0</v>
      </c>
      <c r="U48" s="29"/>
    </row>
    <row r="49" spans="1:21" ht="14.4">
      <c r="A49" s="54"/>
      <c r="B49" s="4"/>
      <c r="C49" s="83">
        <v>8</v>
      </c>
      <c r="D49" s="315" t="s">
        <v>272</v>
      </c>
      <c r="E49" s="47"/>
      <c r="F49" s="4"/>
      <c r="G49" s="48"/>
      <c r="H49" s="47"/>
      <c r="I49" s="316" t="s">
        <v>273</v>
      </c>
      <c r="J49" s="48"/>
      <c r="K49" s="47"/>
      <c r="L49" s="48"/>
      <c r="M49" s="48"/>
      <c r="N49" s="48"/>
      <c r="O49" s="47"/>
      <c r="P49" s="63"/>
      <c r="Q49" s="49"/>
      <c r="R49" s="63"/>
      <c r="S49" s="49"/>
      <c r="T49" s="171">
        <f t="shared" si="1"/>
        <v>0</v>
      </c>
      <c r="U49" s="29"/>
    </row>
    <row r="50" spans="1:21" ht="14.4">
      <c r="A50" s="54"/>
      <c r="B50" s="4"/>
      <c r="C50" s="83">
        <v>9</v>
      </c>
      <c r="D50" s="315" t="s">
        <v>274</v>
      </c>
      <c r="E50" s="47"/>
      <c r="F50" s="4"/>
      <c r="G50" s="48"/>
      <c r="H50" s="47"/>
      <c r="I50" s="316" t="s">
        <v>275</v>
      </c>
      <c r="J50" s="48"/>
      <c r="K50" s="47"/>
      <c r="L50" s="48"/>
      <c r="M50" s="48"/>
      <c r="N50" s="48"/>
      <c r="O50" s="47"/>
      <c r="P50" s="63"/>
      <c r="Q50" s="49"/>
      <c r="R50" s="63"/>
      <c r="S50" s="49"/>
      <c r="T50" s="171">
        <f t="shared" si="1"/>
        <v>0</v>
      </c>
      <c r="U50" s="29"/>
    </row>
    <row r="51" spans="1:21" ht="14.4">
      <c r="A51" s="54"/>
      <c r="B51" s="4"/>
      <c r="C51" s="83">
        <v>10</v>
      </c>
      <c r="D51" s="315" t="s">
        <v>276</v>
      </c>
      <c r="E51" s="47"/>
      <c r="F51" s="4"/>
      <c r="G51" s="48"/>
      <c r="H51" s="47"/>
      <c r="I51" s="316" t="s">
        <v>277</v>
      </c>
      <c r="J51" s="48"/>
      <c r="K51" s="47"/>
      <c r="L51" s="48"/>
      <c r="M51" s="48"/>
      <c r="N51" s="48"/>
      <c r="O51" s="47"/>
      <c r="P51" s="63"/>
      <c r="Q51" s="49"/>
      <c r="R51" s="63"/>
      <c r="S51" s="49"/>
      <c r="T51" s="171">
        <f t="shared" si="1"/>
        <v>0</v>
      </c>
      <c r="U51" s="29"/>
    </row>
    <row r="52" spans="1:21" ht="14.4">
      <c r="A52" s="54"/>
      <c r="B52" s="4"/>
      <c r="C52" s="83">
        <v>11</v>
      </c>
      <c r="D52" s="317" t="s">
        <v>278</v>
      </c>
      <c r="E52" s="47"/>
      <c r="F52" s="4"/>
      <c r="G52" s="48"/>
      <c r="H52" s="47"/>
      <c r="I52" s="318" t="s">
        <v>279</v>
      </c>
      <c r="J52" s="48"/>
      <c r="K52" s="47"/>
      <c r="L52" s="48"/>
      <c r="M52" s="48"/>
      <c r="N52" s="48"/>
      <c r="O52" s="47"/>
      <c r="P52" s="63"/>
      <c r="Q52" s="49"/>
      <c r="R52" s="63"/>
      <c r="S52" s="49"/>
      <c r="T52" s="171">
        <f t="shared" si="1"/>
        <v>0</v>
      </c>
      <c r="U52" s="29"/>
    </row>
    <row r="53" spans="1:21" ht="14.4">
      <c r="A53" s="54"/>
      <c r="B53" s="4"/>
      <c r="C53" s="83">
        <v>12</v>
      </c>
      <c r="D53" s="315" t="s">
        <v>280</v>
      </c>
      <c r="E53" s="47"/>
      <c r="F53" s="4"/>
      <c r="G53" s="48"/>
      <c r="H53" s="47"/>
      <c r="I53" s="316" t="s">
        <v>281</v>
      </c>
      <c r="J53" s="48"/>
      <c r="K53" s="47"/>
      <c r="L53" s="48"/>
      <c r="M53" s="48"/>
      <c r="N53" s="48"/>
      <c r="O53" s="47"/>
      <c r="P53" s="63"/>
      <c r="Q53" s="49"/>
      <c r="R53" s="63"/>
      <c r="S53" s="49"/>
      <c r="T53" s="171">
        <f t="shared" si="1"/>
        <v>0</v>
      </c>
      <c r="U53" s="29"/>
    </row>
    <row r="54" spans="1:21" ht="14.4">
      <c r="A54" s="54"/>
      <c r="B54" s="4"/>
      <c r="C54" s="83">
        <v>13</v>
      </c>
      <c r="D54" s="315" t="s">
        <v>282</v>
      </c>
      <c r="E54" s="47"/>
      <c r="F54" s="4"/>
      <c r="G54" s="48"/>
      <c r="H54" s="47"/>
      <c r="I54" s="316" t="s">
        <v>283</v>
      </c>
      <c r="J54" s="48"/>
      <c r="K54" s="47"/>
      <c r="L54" s="48"/>
      <c r="M54" s="48"/>
      <c r="N54" s="48"/>
      <c r="O54" s="47"/>
      <c r="P54" s="63"/>
      <c r="Q54" s="49"/>
      <c r="R54" s="63"/>
      <c r="S54" s="49"/>
      <c r="T54" s="171">
        <f t="shared" si="1"/>
        <v>0</v>
      </c>
      <c r="U54" s="29"/>
    </row>
    <row r="55" spans="1:21" ht="14.4">
      <c r="A55" s="54"/>
      <c r="B55" s="4"/>
      <c r="C55" s="83">
        <v>14</v>
      </c>
      <c r="D55" s="315" t="s">
        <v>284</v>
      </c>
      <c r="E55" s="47"/>
      <c r="F55" s="4"/>
      <c r="I55" s="316" t="s">
        <v>285</v>
      </c>
      <c r="J55" s="48"/>
      <c r="K55" s="47"/>
      <c r="L55" s="48"/>
      <c r="M55" s="48"/>
      <c r="N55" s="48"/>
      <c r="O55" s="47"/>
      <c r="P55" s="63"/>
      <c r="Q55" s="49"/>
      <c r="R55" s="63"/>
      <c r="S55" s="49"/>
      <c r="T55" s="171">
        <f t="shared" si="1"/>
        <v>0</v>
      </c>
      <c r="U55" s="29"/>
    </row>
    <row r="56" spans="1:21">
      <c r="A56" s="54"/>
      <c r="B56" s="3"/>
      <c r="C56" s="4"/>
      <c r="D56" s="4"/>
      <c r="E56" s="46"/>
      <c r="F56" s="52"/>
      <c r="G56" s="52"/>
      <c r="H56" s="4"/>
      <c r="I56" s="52"/>
      <c r="J56" s="75"/>
      <c r="K56" s="4"/>
      <c r="L56" s="52"/>
      <c r="M56" s="75"/>
      <c r="N56" s="52"/>
      <c r="O56" s="76"/>
      <c r="P56" s="63"/>
      <c r="Q56" s="63"/>
      <c r="R56" s="63"/>
      <c r="S56" s="49">
        <f t="shared" ref="S56:S57" si="9">SUM(P56:R56)</f>
        <v>0</v>
      </c>
      <c r="T56" s="171">
        <f t="shared" si="1"/>
        <v>0</v>
      </c>
      <c r="U56" s="29"/>
    </row>
    <row r="57" spans="1:21" s="73" customFormat="1" ht="13.8">
      <c r="A57" s="66" t="s">
        <v>50</v>
      </c>
      <c r="B57" s="55" t="s">
        <v>286</v>
      </c>
      <c r="C57" s="4"/>
      <c r="D57" s="4"/>
      <c r="E57" s="47"/>
      <c r="F57" s="4"/>
      <c r="G57" s="4"/>
      <c r="H57" s="47"/>
      <c r="I57" s="48"/>
      <c r="J57" s="48"/>
      <c r="K57" s="47"/>
      <c r="L57" s="48"/>
      <c r="M57" s="48"/>
      <c r="N57" s="48"/>
      <c r="O57" s="47"/>
      <c r="P57" s="70"/>
      <c r="Q57" s="49">
        <f t="shared" ref="Q57" si="10">O57*K57*H57</f>
        <v>0</v>
      </c>
      <c r="R57" s="71"/>
      <c r="S57" s="49">
        <f t="shared" si="9"/>
        <v>0</v>
      </c>
      <c r="T57" s="171">
        <f t="shared" si="1"/>
        <v>0</v>
      </c>
      <c r="U57" s="370">
        <f>SUM(T59:T67)</f>
        <v>39290000</v>
      </c>
    </row>
    <row r="58" spans="1:21">
      <c r="A58" s="54"/>
      <c r="B58" s="55" t="s">
        <v>60</v>
      </c>
      <c r="C58" s="4"/>
      <c r="D58" s="4"/>
      <c r="E58" s="47"/>
      <c r="F58" s="4"/>
      <c r="G58" s="4"/>
      <c r="H58" s="59"/>
      <c r="I58" s="60"/>
      <c r="J58" s="61"/>
      <c r="K58" s="59"/>
      <c r="L58" s="60"/>
      <c r="M58" s="61"/>
      <c r="N58" s="60"/>
      <c r="O58" s="62"/>
      <c r="P58" s="63"/>
      <c r="Q58" s="49"/>
      <c r="R58" s="49"/>
      <c r="S58" s="49">
        <f>SUM(P58:R58)</f>
        <v>0</v>
      </c>
      <c r="T58" s="171">
        <f t="shared" si="1"/>
        <v>0</v>
      </c>
      <c r="U58" s="29"/>
    </row>
    <row r="59" spans="1:21">
      <c r="A59" s="54"/>
      <c r="B59" s="43" t="s">
        <v>62</v>
      </c>
      <c r="C59" s="56"/>
      <c r="D59" s="4"/>
      <c r="E59" s="47"/>
      <c r="F59" s="4"/>
      <c r="G59" s="4"/>
      <c r="H59" s="47"/>
      <c r="I59" s="48"/>
      <c r="J59" s="48"/>
      <c r="K59" s="47">
        <v>2</v>
      </c>
      <c r="L59" s="48" t="s">
        <v>31</v>
      </c>
      <c r="M59" s="48" t="s">
        <v>27</v>
      </c>
      <c r="N59" s="48" t="s">
        <v>28</v>
      </c>
      <c r="O59" s="47">
        <v>820000</v>
      </c>
      <c r="P59" s="63"/>
      <c r="Q59" s="49"/>
      <c r="R59" s="49">
        <f>O59*K59</f>
        <v>1640000</v>
      </c>
      <c r="S59" s="49"/>
      <c r="T59" s="171">
        <f t="shared" si="1"/>
        <v>1640000</v>
      </c>
      <c r="U59" s="29"/>
    </row>
    <row r="60" spans="1:21">
      <c r="A60" s="54"/>
      <c r="B60" s="104" t="s">
        <v>64</v>
      </c>
      <c r="C60" s="4"/>
      <c r="D60" s="4"/>
      <c r="E60" s="47"/>
      <c r="F60" s="4"/>
      <c r="G60" s="4"/>
      <c r="H60" s="47"/>
      <c r="I60" s="48"/>
      <c r="J60" s="48"/>
      <c r="K60" s="47"/>
      <c r="L60" s="48"/>
      <c r="M60" s="48"/>
      <c r="N60" s="48"/>
      <c r="O60" s="57"/>
      <c r="P60" s="63"/>
      <c r="Q60" s="49"/>
      <c r="R60" s="49"/>
      <c r="S60" s="49"/>
      <c r="T60" s="171">
        <f t="shared" si="1"/>
        <v>0</v>
      </c>
      <c r="U60" s="29"/>
    </row>
    <row r="61" spans="1:21">
      <c r="A61" s="54"/>
      <c r="B61" s="43" t="s">
        <v>65</v>
      </c>
      <c r="C61" s="4"/>
      <c r="D61" s="4"/>
      <c r="E61" s="47"/>
      <c r="F61" s="4"/>
      <c r="G61" s="4"/>
      <c r="H61" s="47">
        <v>1</v>
      </c>
      <c r="I61" s="48" t="s">
        <v>30</v>
      </c>
      <c r="J61" s="48" t="s">
        <v>27</v>
      </c>
      <c r="K61" s="47">
        <v>1</v>
      </c>
      <c r="L61" s="48" t="s">
        <v>31</v>
      </c>
      <c r="M61" s="48" t="s">
        <v>27</v>
      </c>
      <c r="N61" s="48" t="s">
        <v>28</v>
      </c>
      <c r="O61" s="47">
        <v>300000</v>
      </c>
      <c r="P61" s="63"/>
      <c r="Q61" s="49"/>
      <c r="R61" s="49"/>
      <c r="S61" s="49">
        <f>O61*K61*H61</f>
        <v>300000</v>
      </c>
      <c r="T61" s="171">
        <f t="shared" si="1"/>
        <v>300000</v>
      </c>
      <c r="U61" s="29"/>
    </row>
    <row r="62" spans="1:21" s="73" customFormat="1" ht="13.8">
      <c r="A62" s="66"/>
      <c r="B62" s="55" t="s">
        <v>172</v>
      </c>
      <c r="C62" s="4"/>
      <c r="D62" s="4"/>
      <c r="E62" s="47"/>
      <c r="F62" s="4"/>
      <c r="G62" s="4"/>
      <c r="H62" s="47"/>
      <c r="I62" s="48"/>
      <c r="J62" s="48"/>
      <c r="K62" s="47"/>
      <c r="L62" s="48"/>
      <c r="M62" s="48"/>
      <c r="N62" s="48"/>
      <c r="O62" s="47"/>
      <c r="P62" s="70"/>
      <c r="Q62" s="49">
        <f>O62*K62*H62</f>
        <v>0</v>
      </c>
      <c r="R62" s="71"/>
      <c r="S62" s="49"/>
      <c r="T62" s="171">
        <f t="shared" si="1"/>
        <v>0</v>
      </c>
    </row>
    <row r="63" spans="1:21">
      <c r="A63" s="54"/>
      <c r="B63" s="43" t="s">
        <v>56</v>
      </c>
      <c r="C63" s="4"/>
      <c r="D63" s="4"/>
      <c r="E63" s="47"/>
      <c r="F63" s="4"/>
      <c r="G63" s="4"/>
      <c r="H63" s="47">
        <v>3</v>
      </c>
      <c r="I63" s="48" t="s">
        <v>30</v>
      </c>
      <c r="J63" s="48" t="s">
        <v>27</v>
      </c>
      <c r="K63" s="47">
        <v>1</v>
      </c>
      <c r="L63" s="48" t="s">
        <v>26</v>
      </c>
      <c r="M63" s="48" t="s">
        <v>27</v>
      </c>
      <c r="N63" s="48" t="s">
        <v>28</v>
      </c>
      <c r="O63" s="47">
        <v>5000000</v>
      </c>
      <c r="P63" s="63"/>
      <c r="Q63" s="49">
        <f>O63*K63*H63</f>
        <v>15000000</v>
      </c>
      <c r="R63" s="49"/>
      <c r="S63" s="49"/>
      <c r="T63" s="171">
        <f t="shared" si="1"/>
        <v>15000000</v>
      </c>
      <c r="U63" s="29"/>
    </row>
    <row r="64" spans="1:21">
      <c r="A64" s="54"/>
      <c r="B64" s="43" t="s">
        <v>461</v>
      </c>
      <c r="C64" s="4"/>
      <c r="D64" s="4"/>
      <c r="E64" s="47"/>
      <c r="F64" s="4"/>
      <c r="G64" s="4"/>
      <c r="H64" s="47">
        <v>3</v>
      </c>
      <c r="I64" s="48" t="s">
        <v>30</v>
      </c>
      <c r="J64" s="48" t="s">
        <v>27</v>
      </c>
      <c r="K64" s="47">
        <v>1</v>
      </c>
      <c r="L64" s="48" t="s">
        <v>26</v>
      </c>
      <c r="M64" s="48" t="s">
        <v>27</v>
      </c>
      <c r="N64" s="48" t="s">
        <v>28</v>
      </c>
      <c r="O64" s="47">
        <v>2000000</v>
      </c>
      <c r="P64" s="63"/>
      <c r="Q64" s="49">
        <f>O64*K64*H64</f>
        <v>6000000</v>
      </c>
      <c r="R64" s="49"/>
      <c r="S64" s="49"/>
      <c r="T64" s="171">
        <f t="shared" ref="T64" si="11">SUM(P64:S64)</f>
        <v>6000000</v>
      </c>
      <c r="U64" s="29"/>
    </row>
    <row r="65" spans="1:21">
      <c r="A65" s="54"/>
      <c r="B65" s="43" t="s">
        <v>259</v>
      </c>
      <c r="C65" s="4"/>
      <c r="D65" s="4"/>
      <c r="E65" s="47"/>
      <c r="F65" s="4"/>
      <c r="G65" s="4"/>
      <c r="H65" s="47">
        <v>3</v>
      </c>
      <c r="I65" s="48" t="s">
        <v>30</v>
      </c>
      <c r="J65" s="48" t="s">
        <v>27</v>
      </c>
      <c r="K65" s="47">
        <v>1</v>
      </c>
      <c r="L65" s="48" t="s">
        <v>26</v>
      </c>
      <c r="M65" s="48" t="s">
        <v>27</v>
      </c>
      <c r="N65" s="48" t="s">
        <v>28</v>
      </c>
      <c r="O65" s="47">
        <f>(174000+171000)*2</f>
        <v>690000</v>
      </c>
      <c r="P65" s="63"/>
      <c r="Q65" s="49">
        <f>O65*H65</f>
        <v>2070000</v>
      </c>
      <c r="R65" s="49"/>
      <c r="S65" s="49"/>
      <c r="T65" s="171">
        <f t="shared" si="1"/>
        <v>2070000</v>
      </c>
      <c r="U65" s="29"/>
    </row>
    <row r="66" spans="1:21" s="73" customFormat="1" ht="13.8">
      <c r="A66" s="66"/>
      <c r="B66" s="43" t="s">
        <v>53</v>
      </c>
      <c r="C66" s="4"/>
      <c r="D66" s="4"/>
      <c r="E66" s="47"/>
      <c r="F66" s="4"/>
      <c r="G66" s="4"/>
      <c r="H66" s="47">
        <v>3</v>
      </c>
      <c r="I66" s="48" t="s">
        <v>30</v>
      </c>
      <c r="J66" s="48" t="s">
        <v>27</v>
      </c>
      <c r="K66" s="47">
        <v>7</v>
      </c>
      <c r="L66" s="48" t="s">
        <v>31</v>
      </c>
      <c r="M66" s="48" t="s">
        <v>27</v>
      </c>
      <c r="N66" s="48" t="s">
        <v>28</v>
      </c>
      <c r="O66" s="47">
        <v>380000</v>
      </c>
      <c r="P66" s="70"/>
      <c r="Q66" s="49">
        <f t="shared" ref="Q66:Q67" si="12">O66*K66*H66</f>
        <v>7980000</v>
      </c>
      <c r="R66" s="71"/>
      <c r="S66" s="49"/>
      <c r="T66" s="171">
        <f t="shared" si="1"/>
        <v>7980000</v>
      </c>
    </row>
    <row r="67" spans="1:21" s="73" customFormat="1" ht="13.8">
      <c r="A67" s="66"/>
      <c r="B67" s="43" t="s">
        <v>173</v>
      </c>
      <c r="C67" s="4"/>
      <c r="D67" s="4"/>
      <c r="E67" s="47"/>
      <c r="F67" s="4"/>
      <c r="G67" s="4"/>
      <c r="H67" s="47">
        <v>3</v>
      </c>
      <c r="I67" s="48" t="s">
        <v>30</v>
      </c>
      <c r="J67" s="48" t="s">
        <v>27</v>
      </c>
      <c r="K67" s="47">
        <v>6</v>
      </c>
      <c r="L67" s="48" t="s">
        <v>31</v>
      </c>
      <c r="M67" s="48" t="s">
        <v>27</v>
      </c>
      <c r="N67" s="48" t="s">
        <v>28</v>
      </c>
      <c r="O67" s="47">
        <v>350000</v>
      </c>
      <c r="P67" s="70"/>
      <c r="Q67" s="49">
        <f t="shared" si="12"/>
        <v>6300000</v>
      </c>
      <c r="R67" s="71"/>
      <c r="S67" s="49"/>
      <c r="T67" s="171">
        <f t="shared" si="1"/>
        <v>6300000</v>
      </c>
    </row>
    <row r="68" spans="1:21">
      <c r="A68" s="54"/>
      <c r="B68" s="4"/>
      <c r="C68" s="4"/>
      <c r="D68" s="4"/>
      <c r="E68" s="47"/>
      <c r="F68" s="4"/>
      <c r="G68" s="4"/>
      <c r="H68" s="47"/>
      <c r="I68" s="48"/>
      <c r="J68" s="48"/>
      <c r="K68" s="47"/>
      <c r="L68" s="48"/>
      <c r="M68" s="48"/>
      <c r="N68" s="48"/>
      <c r="O68" s="47"/>
      <c r="P68" s="63"/>
      <c r="Q68" s="49"/>
      <c r="R68" s="63"/>
      <c r="S68" s="49"/>
      <c r="T68" s="171">
        <f t="shared" si="1"/>
        <v>0</v>
      </c>
      <c r="U68" s="29"/>
    </row>
    <row r="69" spans="1:21" ht="14.4">
      <c r="A69" s="54"/>
      <c r="B69" s="4" t="s">
        <v>261</v>
      </c>
      <c r="C69" s="4">
        <v>1</v>
      </c>
      <c r="D69" s="315" t="s">
        <v>287</v>
      </c>
      <c r="E69" s="285"/>
      <c r="F69" s="48"/>
      <c r="G69" s="48"/>
      <c r="H69" s="316" t="s">
        <v>288</v>
      </c>
      <c r="I69" s="48"/>
      <c r="J69" s="48"/>
      <c r="K69" s="47"/>
      <c r="L69" s="48"/>
      <c r="M69" s="48"/>
      <c r="N69" s="48"/>
      <c r="O69" s="47"/>
      <c r="P69" s="63"/>
      <c r="Q69" s="49"/>
      <c r="R69" s="63"/>
      <c r="S69" s="49"/>
      <c r="T69" s="171">
        <f t="shared" si="1"/>
        <v>0</v>
      </c>
      <c r="U69" s="29"/>
    </row>
    <row r="70" spans="1:21" ht="14.4">
      <c r="A70" s="54"/>
      <c r="B70" s="4"/>
      <c r="C70" s="4">
        <v>2</v>
      </c>
      <c r="D70" s="315" t="s">
        <v>289</v>
      </c>
      <c r="E70" s="285"/>
      <c r="F70" s="48"/>
      <c r="G70" s="48"/>
      <c r="H70" s="316" t="s">
        <v>288</v>
      </c>
      <c r="I70" s="48"/>
      <c r="J70" s="48"/>
      <c r="K70" s="47"/>
      <c r="L70" s="48"/>
      <c r="M70" s="48"/>
      <c r="N70" s="48"/>
      <c r="O70" s="47"/>
      <c r="P70" s="63"/>
      <c r="Q70" s="49"/>
      <c r="R70" s="63"/>
      <c r="S70" s="49"/>
      <c r="T70" s="171">
        <f t="shared" si="1"/>
        <v>0</v>
      </c>
      <c r="U70" s="29"/>
    </row>
    <row r="71" spans="1:21" ht="14.4">
      <c r="A71" s="54"/>
      <c r="B71" s="4"/>
      <c r="C71" s="4">
        <v>3</v>
      </c>
      <c r="D71" s="315" t="s">
        <v>290</v>
      </c>
      <c r="E71" s="285"/>
      <c r="F71" s="48"/>
      <c r="G71" s="48"/>
      <c r="H71" s="316" t="s">
        <v>288</v>
      </c>
      <c r="I71" s="48"/>
      <c r="J71" s="48"/>
      <c r="K71" s="47"/>
      <c r="L71" s="48"/>
      <c r="M71" s="48"/>
      <c r="N71" s="48"/>
      <c r="O71" s="47"/>
      <c r="P71" s="63"/>
      <c r="Q71" s="49"/>
      <c r="R71" s="63"/>
      <c r="S71" s="49"/>
      <c r="T71" s="171">
        <f t="shared" si="1"/>
        <v>0</v>
      </c>
      <c r="U71" s="29"/>
    </row>
    <row r="72" spans="1:21">
      <c r="A72" s="54"/>
      <c r="B72" s="4"/>
      <c r="C72" s="4"/>
      <c r="D72" s="4"/>
      <c r="E72" s="47"/>
      <c r="F72" s="4"/>
      <c r="G72" s="4"/>
      <c r="H72" s="47"/>
      <c r="I72" s="48"/>
      <c r="J72" s="48"/>
      <c r="K72" s="47"/>
      <c r="L72" s="48"/>
      <c r="M72" s="48"/>
      <c r="N72" s="48"/>
      <c r="O72" s="47"/>
      <c r="P72" s="63"/>
      <c r="Q72" s="49"/>
      <c r="R72" s="63"/>
      <c r="S72" s="49"/>
      <c r="T72" s="171">
        <f t="shared" si="1"/>
        <v>0</v>
      </c>
      <c r="U72" s="29"/>
    </row>
    <row r="73" spans="1:21" s="73" customFormat="1" ht="13.8">
      <c r="A73" s="66" t="s">
        <v>55</v>
      </c>
      <c r="B73" s="55" t="s">
        <v>291</v>
      </c>
      <c r="C73" s="4"/>
      <c r="D73" s="4"/>
      <c r="E73" s="47"/>
      <c r="F73" s="4"/>
      <c r="G73" s="4"/>
      <c r="H73" s="47"/>
      <c r="I73" s="48"/>
      <c r="J73" s="48"/>
      <c r="K73" s="47"/>
      <c r="L73" s="48"/>
      <c r="M73" s="48"/>
      <c r="N73" s="48"/>
      <c r="O73" s="47"/>
      <c r="P73" s="70"/>
      <c r="Q73" s="49">
        <f t="shared" ref="Q73" si="13">O73*K73*H73</f>
        <v>0</v>
      </c>
      <c r="R73" s="71"/>
      <c r="S73" s="49"/>
      <c r="T73" s="171">
        <f t="shared" si="1"/>
        <v>0</v>
      </c>
    </row>
    <row r="74" spans="1:21">
      <c r="A74" s="54"/>
      <c r="B74" s="55" t="s">
        <v>60</v>
      </c>
      <c r="C74" s="4"/>
      <c r="D74" s="4"/>
      <c r="E74" s="47"/>
      <c r="F74" s="4"/>
      <c r="G74" s="4"/>
      <c r="H74" s="59"/>
      <c r="I74" s="60"/>
      <c r="J74" s="61"/>
      <c r="K74" s="59"/>
      <c r="L74" s="60"/>
      <c r="M74" s="61"/>
      <c r="N74" s="60"/>
      <c r="O74" s="62"/>
      <c r="P74" s="63"/>
      <c r="Q74" s="49"/>
      <c r="R74" s="49"/>
      <c r="S74" s="49"/>
      <c r="T74" s="171">
        <f t="shared" si="1"/>
        <v>0</v>
      </c>
      <c r="U74" s="29"/>
    </row>
    <row r="75" spans="1:21">
      <c r="A75" s="54"/>
      <c r="B75" s="43" t="s">
        <v>62</v>
      </c>
      <c r="C75" s="56"/>
      <c r="D75" s="4"/>
      <c r="E75" s="47"/>
      <c r="F75" s="4"/>
      <c r="G75" s="4"/>
      <c r="H75" s="47"/>
      <c r="I75" s="48"/>
      <c r="J75" s="48"/>
      <c r="K75" s="47">
        <v>2</v>
      </c>
      <c r="L75" s="48" t="s">
        <v>31</v>
      </c>
      <c r="M75" s="48" t="s">
        <v>27</v>
      </c>
      <c r="N75" s="48" t="s">
        <v>28</v>
      </c>
      <c r="O75" s="47">
        <v>820000</v>
      </c>
      <c r="P75" s="63"/>
      <c r="Q75" s="49"/>
      <c r="R75" s="49">
        <f>O75*K75</f>
        <v>1640000</v>
      </c>
      <c r="S75" s="49"/>
      <c r="T75" s="171">
        <f t="shared" si="1"/>
        <v>1640000</v>
      </c>
      <c r="U75" s="29">
        <f>SUM(T75:T84)</f>
        <v>47210000</v>
      </c>
    </row>
    <row r="76" spans="1:21">
      <c r="A76" s="54"/>
      <c r="B76" s="104" t="s">
        <v>64</v>
      </c>
      <c r="C76" s="4"/>
      <c r="D76" s="4"/>
      <c r="E76" s="47"/>
      <c r="F76" s="4"/>
      <c r="G76" s="4"/>
      <c r="H76" s="47"/>
      <c r="I76" s="48"/>
      <c r="J76" s="48"/>
      <c r="K76" s="47"/>
      <c r="L76" s="48"/>
      <c r="M76" s="48"/>
      <c r="N76" s="48"/>
      <c r="O76" s="57"/>
      <c r="P76" s="63"/>
      <c r="Q76" s="49"/>
      <c r="R76" s="49"/>
      <c r="S76" s="49"/>
      <c r="T76" s="171">
        <f t="shared" si="1"/>
        <v>0</v>
      </c>
      <c r="U76" s="29"/>
    </row>
    <row r="77" spans="1:21">
      <c r="A77" s="54"/>
      <c r="B77" s="43" t="s">
        <v>65</v>
      </c>
      <c r="C77" s="4"/>
      <c r="D77" s="4"/>
      <c r="E77" s="47"/>
      <c r="F77" s="4"/>
      <c r="G77" s="4"/>
      <c r="H77" s="47">
        <v>1</v>
      </c>
      <c r="I77" s="48" t="s">
        <v>30</v>
      </c>
      <c r="J77" s="48" t="s">
        <v>27</v>
      </c>
      <c r="K77" s="47">
        <v>1</v>
      </c>
      <c r="L77" s="48" t="s">
        <v>31</v>
      </c>
      <c r="M77" s="48" t="s">
        <v>27</v>
      </c>
      <c r="N77" s="48" t="s">
        <v>28</v>
      </c>
      <c r="O77" s="47">
        <v>300000</v>
      </c>
      <c r="P77" s="63"/>
      <c r="Q77" s="49"/>
      <c r="R77" s="49"/>
      <c r="S77" s="49">
        <f>O77*K77*H77</f>
        <v>300000</v>
      </c>
      <c r="T77" s="171">
        <f t="shared" si="1"/>
        <v>300000</v>
      </c>
      <c r="U77" s="29"/>
    </row>
    <row r="78" spans="1:21" s="73" customFormat="1" ht="13.8">
      <c r="A78" s="66"/>
      <c r="B78" s="55" t="s">
        <v>172</v>
      </c>
      <c r="C78" s="4"/>
      <c r="D78" s="4"/>
      <c r="E78" s="47"/>
      <c r="F78" s="4"/>
      <c r="G78" s="4"/>
      <c r="H78" s="47"/>
      <c r="I78" s="48"/>
      <c r="J78" s="48"/>
      <c r="K78" s="47"/>
      <c r="L78" s="48"/>
      <c r="M78" s="48"/>
      <c r="N78" s="48"/>
      <c r="O78" s="47"/>
      <c r="P78" s="70"/>
      <c r="Q78" s="49">
        <f>O78*K78*H78</f>
        <v>0</v>
      </c>
      <c r="R78" s="71"/>
      <c r="S78" s="49"/>
      <c r="T78" s="171">
        <f t="shared" si="1"/>
        <v>0</v>
      </c>
    </row>
    <row r="79" spans="1:21">
      <c r="A79" s="54"/>
      <c r="B79" s="43" t="s">
        <v>56</v>
      </c>
      <c r="C79" s="4"/>
      <c r="D79" s="4"/>
      <c r="E79" s="47"/>
      <c r="F79" s="4"/>
      <c r="G79" s="4"/>
      <c r="H79" s="47">
        <v>3</v>
      </c>
      <c r="I79" s="48" t="s">
        <v>30</v>
      </c>
      <c r="J79" s="48" t="s">
        <v>27</v>
      </c>
      <c r="K79" s="47">
        <v>1</v>
      </c>
      <c r="L79" s="48" t="s">
        <v>26</v>
      </c>
      <c r="M79" s="48" t="s">
        <v>27</v>
      </c>
      <c r="N79" s="48" t="s">
        <v>28</v>
      </c>
      <c r="O79" s="47">
        <v>5000000</v>
      </c>
      <c r="P79" s="63"/>
      <c r="Q79" s="49">
        <f>O79*K79*H79</f>
        <v>15000000</v>
      </c>
      <c r="R79" s="49"/>
      <c r="S79" s="49"/>
      <c r="T79" s="171">
        <f t="shared" si="1"/>
        <v>15000000</v>
      </c>
      <c r="U79" s="29"/>
    </row>
    <row r="80" spans="1:21">
      <c r="A80" s="54"/>
      <c r="B80" s="43" t="s">
        <v>363</v>
      </c>
      <c r="C80" s="4"/>
      <c r="D80" s="4"/>
      <c r="E80" s="47"/>
      <c r="F80" s="4"/>
      <c r="G80" s="4"/>
      <c r="H80" s="47">
        <v>3</v>
      </c>
      <c r="I80" s="48" t="s">
        <v>30</v>
      </c>
      <c r="J80" s="48" t="s">
        <v>27</v>
      </c>
      <c r="K80" s="47">
        <v>1</v>
      </c>
      <c r="L80" s="48" t="s">
        <v>26</v>
      </c>
      <c r="M80" s="48" t="s">
        <v>27</v>
      </c>
      <c r="N80" s="48" t="s">
        <v>28</v>
      </c>
      <c r="O80" s="47">
        <v>2000000</v>
      </c>
      <c r="P80" s="63"/>
      <c r="Q80" s="49">
        <f>O80*K80*H80</f>
        <v>6000000</v>
      </c>
      <c r="R80" s="49"/>
      <c r="S80" s="49"/>
      <c r="T80" s="171">
        <f t="shared" ref="T80" si="14">SUM(P80:S80)</f>
        <v>6000000</v>
      </c>
      <c r="U80" s="29"/>
    </row>
    <row r="81" spans="1:21">
      <c r="A81" s="54"/>
      <c r="B81" s="43" t="s">
        <v>364</v>
      </c>
      <c r="C81" s="4"/>
      <c r="D81" s="4"/>
      <c r="E81" s="47"/>
      <c r="F81" s="4"/>
      <c r="G81" s="4"/>
      <c r="H81" s="47">
        <v>3</v>
      </c>
      <c r="I81" s="48" t="s">
        <v>30</v>
      </c>
      <c r="J81" s="48" t="s">
        <v>27</v>
      </c>
      <c r="K81" s="47">
        <v>1</v>
      </c>
      <c r="L81" s="48" t="s">
        <v>26</v>
      </c>
      <c r="M81" s="48" t="s">
        <v>27</v>
      </c>
      <c r="N81" s="48" t="s">
        <v>28</v>
      </c>
      <c r="O81" s="47">
        <f>174000+171000</f>
        <v>345000</v>
      </c>
      <c r="P81" s="63"/>
      <c r="Q81" s="49">
        <f>O81*H81</f>
        <v>1035000</v>
      </c>
      <c r="R81" s="49"/>
      <c r="S81" s="49"/>
      <c r="T81" s="171">
        <f t="shared" si="1"/>
        <v>1035000</v>
      </c>
      <c r="U81" s="29"/>
    </row>
    <row r="82" spans="1:21">
      <c r="A82" s="54"/>
      <c r="B82" s="43" t="s">
        <v>365</v>
      </c>
      <c r="C82" s="4"/>
      <c r="D82" s="4"/>
      <c r="E82" s="47"/>
      <c r="F82" s="4"/>
      <c r="G82" s="4"/>
      <c r="H82" s="47">
        <v>3</v>
      </c>
      <c r="I82" s="48" t="s">
        <v>30</v>
      </c>
      <c r="J82" s="48" t="s">
        <v>27</v>
      </c>
      <c r="K82" s="47">
        <v>1</v>
      </c>
      <c r="L82" s="48" t="s">
        <v>26</v>
      </c>
      <c r="M82" s="48" t="s">
        <v>27</v>
      </c>
      <c r="N82" s="48" t="s">
        <v>28</v>
      </c>
      <c r="O82" s="47">
        <f>174000+171000</f>
        <v>345000</v>
      </c>
      <c r="P82" s="63"/>
      <c r="Q82" s="49">
        <f>O82*H82</f>
        <v>1035000</v>
      </c>
      <c r="R82" s="49"/>
      <c r="S82" s="49"/>
      <c r="T82" s="171">
        <f t="shared" ref="T82" si="15">SUM(P82:S82)</f>
        <v>1035000</v>
      </c>
      <c r="U82" s="29"/>
    </row>
    <row r="83" spans="1:21" s="73" customFormat="1" ht="13.8">
      <c r="A83" s="66"/>
      <c r="B83" s="43" t="s">
        <v>53</v>
      </c>
      <c r="C83" s="4"/>
      <c r="D83" s="4"/>
      <c r="E83" s="47"/>
      <c r="F83" s="4"/>
      <c r="G83" s="4"/>
      <c r="H83" s="47">
        <v>3</v>
      </c>
      <c r="I83" s="48" t="s">
        <v>30</v>
      </c>
      <c r="J83" s="48" t="s">
        <v>27</v>
      </c>
      <c r="K83" s="47">
        <v>10</v>
      </c>
      <c r="L83" s="48" t="s">
        <v>31</v>
      </c>
      <c r="M83" s="48" t="s">
        <v>27</v>
      </c>
      <c r="N83" s="48" t="s">
        <v>28</v>
      </c>
      <c r="O83" s="47">
        <v>380000</v>
      </c>
      <c r="P83" s="70"/>
      <c r="Q83" s="49">
        <f t="shared" ref="Q83:Q84" si="16">O83*K83*H83</f>
        <v>11400000</v>
      </c>
      <c r="R83" s="71"/>
      <c r="S83" s="49"/>
      <c r="T83" s="171">
        <f t="shared" si="1"/>
        <v>11400000</v>
      </c>
    </row>
    <row r="84" spans="1:21" s="73" customFormat="1" ht="13.8">
      <c r="A84" s="66"/>
      <c r="B84" s="43" t="s">
        <v>173</v>
      </c>
      <c r="C84" s="4"/>
      <c r="D84" s="4"/>
      <c r="E84" s="47"/>
      <c r="F84" s="4" t="s">
        <v>292</v>
      </c>
      <c r="G84" s="4"/>
      <c r="H84" s="47">
        <v>3</v>
      </c>
      <c r="I84" s="48" t="s">
        <v>30</v>
      </c>
      <c r="J84" s="48" t="s">
        <v>27</v>
      </c>
      <c r="K84" s="47">
        <v>9</v>
      </c>
      <c r="L84" s="48" t="s">
        <v>31</v>
      </c>
      <c r="M84" s="48" t="s">
        <v>27</v>
      </c>
      <c r="N84" s="48" t="s">
        <v>28</v>
      </c>
      <c r="O84" s="47">
        <v>400000</v>
      </c>
      <c r="P84" s="70"/>
      <c r="Q84" s="49">
        <f t="shared" si="16"/>
        <v>10800000</v>
      </c>
      <c r="R84" s="71"/>
      <c r="S84" s="49"/>
      <c r="T84" s="171">
        <f t="shared" si="1"/>
        <v>10800000</v>
      </c>
    </row>
    <row r="85" spans="1:21">
      <c r="A85" s="54"/>
      <c r="B85" s="43"/>
      <c r="C85" s="4"/>
      <c r="D85" s="4"/>
      <c r="E85" s="47"/>
      <c r="F85" s="4"/>
      <c r="G85" s="4"/>
      <c r="H85" s="47"/>
      <c r="I85" s="48"/>
      <c r="J85" s="48"/>
      <c r="K85" s="47"/>
      <c r="L85" s="48"/>
      <c r="M85" s="48"/>
      <c r="N85" s="48"/>
      <c r="O85" s="47"/>
      <c r="P85" s="63"/>
      <c r="Q85" s="49"/>
      <c r="R85" s="63"/>
      <c r="S85" s="49"/>
      <c r="T85" s="171">
        <f t="shared" si="1"/>
        <v>0</v>
      </c>
      <c r="U85" s="29"/>
    </row>
    <row r="86" spans="1:21" ht="14.4">
      <c r="A86" s="54"/>
      <c r="B86" s="4" t="s">
        <v>261</v>
      </c>
      <c r="C86" s="83">
        <v>1</v>
      </c>
      <c r="D86" s="316" t="s">
        <v>293</v>
      </c>
      <c r="E86" s="47"/>
      <c r="F86" s="4"/>
      <c r="G86" s="316"/>
      <c r="H86" s="47"/>
      <c r="I86" s="316" t="s">
        <v>294</v>
      </c>
      <c r="J86" s="48"/>
      <c r="K86" s="47"/>
      <c r="L86" s="48"/>
      <c r="M86" s="48"/>
      <c r="N86" s="48"/>
      <c r="O86" s="47"/>
      <c r="P86" s="63"/>
      <c r="Q86" s="49"/>
      <c r="R86" s="63"/>
      <c r="S86" s="49"/>
      <c r="T86" s="171">
        <f t="shared" ref="T86:T153" si="17">SUM(P86:S86)</f>
        <v>0</v>
      </c>
      <c r="U86" s="29"/>
    </row>
    <row r="87" spans="1:21" ht="14.4">
      <c r="A87" s="54"/>
      <c r="B87" s="43"/>
      <c r="C87" s="83">
        <v>2</v>
      </c>
      <c r="D87" s="316" t="s">
        <v>295</v>
      </c>
      <c r="E87" s="47"/>
      <c r="F87" s="4"/>
      <c r="G87" s="316"/>
      <c r="H87" s="47"/>
      <c r="I87" s="316" t="s">
        <v>296</v>
      </c>
      <c r="J87" s="48"/>
      <c r="K87" s="47"/>
      <c r="L87" s="48"/>
      <c r="M87" s="48"/>
      <c r="N87" s="48"/>
      <c r="O87" s="47"/>
      <c r="P87" s="63"/>
      <c r="Q87" s="49"/>
      <c r="R87" s="63"/>
      <c r="S87" s="49"/>
      <c r="T87" s="171">
        <f t="shared" si="17"/>
        <v>0</v>
      </c>
      <c r="U87" s="29"/>
    </row>
    <row r="88" spans="1:21" ht="14.4">
      <c r="A88" s="54"/>
      <c r="B88" s="43"/>
      <c r="C88" s="83">
        <v>3</v>
      </c>
      <c r="D88" s="316" t="s">
        <v>297</v>
      </c>
      <c r="E88" s="47"/>
      <c r="F88" s="4"/>
      <c r="G88" s="316"/>
      <c r="H88" s="47"/>
      <c r="I88" s="316" t="s">
        <v>298</v>
      </c>
      <c r="J88" s="48"/>
      <c r="K88" s="47"/>
      <c r="L88" s="48"/>
      <c r="M88" s="48"/>
      <c r="N88" s="48"/>
      <c r="O88" s="47"/>
      <c r="P88" s="63"/>
      <c r="Q88" s="49"/>
      <c r="R88" s="63"/>
      <c r="S88" s="49"/>
      <c r="T88" s="171">
        <f t="shared" si="17"/>
        <v>0</v>
      </c>
      <c r="U88" s="29"/>
    </row>
    <row r="89" spans="1:21" ht="14.4">
      <c r="A89" s="54"/>
      <c r="B89" s="43"/>
      <c r="C89" s="83">
        <v>4</v>
      </c>
      <c r="D89" s="316" t="s">
        <v>299</v>
      </c>
      <c r="E89" s="47"/>
      <c r="F89" s="4"/>
      <c r="G89" s="316"/>
      <c r="H89" s="47"/>
      <c r="I89" s="316" t="s">
        <v>300</v>
      </c>
      <c r="J89" s="48"/>
      <c r="K89" s="47"/>
      <c r="L89" s="48"/>
      <c r="M89" s="48"/>
      <c r="N89" s="48"/>
      <c r="O89" s="47"/>
      <c r="P89" s="63"/>
      <c r="Q89" s="49"/>
      <c r="R89" s="63"/>
      <c r="S89" s="49"/>
      <c r="T89" s="171">
        <f t="shared" si="17"/>
        <v>0</v>
      </c>
      <c r="U89" s="29"/>
    </row>
    <row r="90" spans="1:21" ht="14.4">
      <c r="A90" s="54"/>
      <c r="B90" s="43"/>
      <c r="C90" s="83">
        <v>5</v>
      </c>
      <c r="D90" s="319" t="s">
        <v>301</v>
      </c>
      <c r="E90" s="47"/>
      <c r="F90" s="4"/>
      <c r="G90" s="316"/>
      <c r="H90" s="47"/>
      <c r="I90" s="316" t="s">
        <v>296</v>
      </c>
      <c r="J90" s="48"/>
      <c r="K90" s="47"/>
      <c r="L90" s="48"/>
      <c r="M90" s="48"/>
      <c r="N90" s="48"/>
      <c r="O90" s="47"/>
      <c r="P90" s="63"/>
      <c r="Q90" s="49"/>
      <c r="R90" s="63"/>
      <c r="S90" s="49"/>
      <c r="T90" s="171">
        <f t="shared" si="17"/>
        <v>0</v>
      </c>
      <c r="U90" s="29"/>
    </row>
    <row r="91" spans="1:21" ht="14.4">
      <c r="A91" s="54"/>
      <c r="B91" s="43"/>
      <c r="C91" s="83">
        <v>6</v>
      </c>
      <c r="D91" s="316" t="s">
        <v>302</v>
      </c>
      <c r="E91" s="47"/>
      <c r="F91" s="4"/>
      <c r="G91" s="316"/>
      <c r="H91" s="47"/>
      <c r="I91" s="316" t="s">
        <v>303</v>
      </c>
      <c r="J91" s="48"/>
      <c r="K91" s="47"/>
      <c r="L91" s="48"/>
      <c r="M91" s="48"/>
      <c r="N91" s="48"/>
      <c r="O91" s="47"/>
      <c r="P91" s="63"/>
      <c r="Q91" s="49"/>
      <c r="R91" s="63"/>
      <c r="S91" s="49"/>
      <c r="T91" s="171">
        <f t="shared" si="17"/>
        <v>0</v>
      </c>
      <c r="U91" s="29"/>
    </row>
    <row r="92" spans="1:21" ht="14.4">
      <c r="A92" s="54"/>
      <c r="B92" s="43"/>
      <c r="C92" s="83">
        <v>7</v>
      </c>
      <c r="D92" s="319" t="s">
        <v>304</v>
      </c>
      <c r="E92" s="47"/>
      <c r="F92" s="4"/>
      <c r="G92" s="316"/>
      <c r="H92" s="47"/>
      <c r="I92" s="316" t="s">
        <v>300</v>
      </c>
      <c r="J92" s="48"/>
      <c r="K92" s="47"/>
      <c r="L92" s="48"/>
      <c r="M92" s="48"/>
      <c r="N92" s="48"/>
      <c r="O92" s="47"/>
      <c r="P92" s="63"/>
      <c r="Q92" s="49"/>
      <c r="R92" s="63"/>
      <c r="S92" s="49"/>
      <c r="T92" s="171">
        <f t="shared" si="17"/>
        <v>0</v>
      </c>
      <c r="U92" s="29"/>
    </row>
    <row r="93" spans="1:21" ht="14.4">
      <c r="A93" s="54"/>
      <c r="B93" s="43"/>
      <c r="C93" s="83">
        <v>8</v>
      </c>
      <c r="D93" s="316" t="s">
        <v>305</v>
      </c>
      <c r="E93" s="47"/>
      <c r="F93" s="4"/>
      <c r="G93" s="316"/>
      <c r="H93" s="47"/>
      <c r="I93" s="316" t="s">
        <v>294</v>
      </c>
      <c r="J93" s="48"/>
      <c r="K93" s="47"/>
      <c r="L93" s="48"/>
      <c r="M93" s="48"/>
      <c r="N93" s="48"/>
      <c r="O93" s="47"/>
      <c r="P93" s="63"/>
      <c r="Q93" s="49"/>
      <c r="R93" s="63"/>
      <c r="S93" s="49"/>
      <c r="T93" s="171">
        <f t="shared" si="17"/>
        <v>0</v>
      </c>
      <c r="U93" s="29"/>
    </row>
    <row r="94" spans="1:21" ht="14.4">
      <c r="A94" s="54"/>
      <c r="B94" s="43"/>
      <c r="C94" s="83">
        <v>9</v>
      </c>
      <c r="D94" s="316" t="s">
        <v>306</v>
      </c>
      <c r="E94" s="47"/>
      <c r="F94" s="4"/>
      <c r="G94" s="316"/>
      <c r="H94" s="47"/>
      <c r="I94" s="316" t="s">
        <v>307</v>
      </c>
      <c r="J94" s="48"/>
      <c r="K94" s="47"/>
      <c r="L94" s="48"/>
      <c r="M94" s="48"/>
      <c r="N94" s="48"/>
      <c r="O94" s="47"/>
      <c r="P94" s="63"/>
      <c r="Q94" s="49"/>
      <c r="R94" s="63"/>
      <c r="S94" s="49"/>
      <c r="T94" s="171">
        <f t="shared" si="17"/>
        <v>0</v>
      </c>
      <c r="U94" s="29"/>
    </row>
    <row r="95" spans="1:21" ht="14.4">
      <c r="A95" s="54"/>
      <c r="B95" s="43"/>
      <c r="C95" s="83">
        <v>10</v>
      </c>
      <c r="D95" s="316" t="s">
        <v>308</v>
      </c>
      <c r="E95" s="47"/>
      <c r="F95" s="4"/>
      <c r="G95" s="316"/>
      <c r="H95" s="47"/>
      <c r="I95" s="316" t="s">
        <v>309</v>
      </c>
      <c r="J95" s="48"/>
      <c r="K95" s="47"/>
      <c r="L95" s="48"/>
      <c r="M95" s="48"/>
      <c r="N95" s="48"/>
      <c r="O95" s="47"/>
      <c r="P95" s="63"/>
      <c r="Q95" s="49"/>
      <c r="R95" s="63"/>
      <c r="S95" s="49"/>
      <c r="T95" s="171">
        <f t="shared" si="17"/>
        <v>0</v>
      </c>
      <c r="U95" s="29"/>
    </row>
    <row r="96" spans="1:21">
      <c r="A96" s="54"/>
      <c r="B96" s="43"/>
      <c r="C96" s="4"/>
      <c r="D96" s="4"/>
      <c r="E96" s="47"/>
      <c r="F96" s="4"/>
      <c r="G96" s="4"/>
      <c r="H96" s="47"/>
      <c r="I96" s="48"/>
      <c r="J96" s="48"/>
      <c r="K96" s="47"/>
      <c r="L96" s="48"/>
      <c r="M96" s="48"/>
      <c r="N96" s="48"/>
      <c r="O96" s="47"/>
      <c r="P96" s="63"/>
      <c r="Q96" s="49"/>
      <c r="R96" s="63"/>
      <c r="S96" s="49"/>
      <c r="T96" s="171">
        <f t="shared" si="17"/>
        <v>0</v>
      </c>
      <c r="U96" s="29"/>
    </row>
    <row r="97" spans="1:21" s="73" customFormat="1" ht="13.8">
      <c r="A97" s="66" t="s">
        <v>515</v>
      </c>
      <c r="B97" s="55" t="s">
        <v>310</v>
      </c>
      <c r="C97" s="4"/>
      <c r="D97" s="4"/>
      <c r="E97" s="47"/>
      <c r="F97" s="4"/>
      <c r="G97" s="4"/>
      <c r="H97" s="47"/>
      <c r="I97" s="48"/>
      <c r="J97" s="48"/>
      <c r="K97" s="47"/>
      <c r="L97" s="48"/>
      <c r="M97" s="48"/>
      <c r="N97" s="48"/>
      <c r="O97" s="47"/>
      <c r="P97" s="70"/>
      <c r="Q97" s="49">
        <f t="shared" ref="Q97" si="18">O97*K97*H97</f>
        <v>0</v>
      </c>
      <c r="R97" s="71"/>
      <c r="S97" s="49"/>
      <c r="T97" s="171">
        <f t="shared" si="17"/>
        <v>0</v>
      </c>
      <c r="U97" s="370">
        <f>SUM(T99:T110)</f>
        <v>44810000</v>
      </c>
    </row>
    <row r="98" spans="1:21">
      <c r="A98" s="54"/>
      <c r="B98" s="55" t="s">
        <v>60</v>
      </c>
      <c r="C98" s="4"/>
      <c r="D98" s="4"/>
      <c r="E98" s="47"/>
      <c r="F98" s="4"/>
      <c r="G98" s="4"/>
      <c r="H98" s="59"/>
      <c r="I98" s="60"/>
      <c r="J98" s="61"/>
      <c r="K98" s="59"/>
      <c r="L98" s="60"/>
      <c r="M98" s="61"/>
      <c r="N98" s="60"/>
      <c r="O98" s="62"/>
      <c r="P98" s="63"/>
      <c r="Q98" s="49"/>
      <c r="R98" s="49"/>
      <c r="S98" s="49"/>
      <c r="T98" s="171">
        <f t="shared" si="17"/>
        <v>0</v>
      </c>
      <c r="U98" s="29"/>
    </row>
    <row r="99" spans="1:21">
      <c r="A99" s="54"/>
      <c r="B99" s="43" t="s">
        <v>62</v>
      </c>
      <c r="C99" s="56"/>
      <c r="D99" s="4"/>
      <c r="E99" s="47"/>
      <c r="F99" s="4"/>
      <c r="G99" s="4"/>
      <c r="H99" s="47"/>
      <c r="I99" s="48"/>
      <c r="J99" s="48"/>
      <c r="K99" s="47">
        <v>2</v>
      </c>
      <c r="L99" s="48" t="s">
        <v>31</v>
      </c>
      <c r="M99" s="48" t="s">
        <v>27</v>
      </c>
      <c r="N99" s="48" t="s">
        <v>28</v>
      </c>
      <c r="O99" s="47">
        <v>820000</v>
      </c>
      <c r="P99" s="63"/>
      <c r="Q99" s="49"/>
      <c r="R99" s="49">
        <f>O99*K99</f>
        <v>1640000</v>
      </c>
      <c r="S99" s="49"/>
      <c r="T99" s="171">
        <f t="shared" si="17"/>
        <v>1640000</v>
      </c>
      <c r="U99" s="29"/>
    </row>
    <row r="100" spans="1:21">
      <c r="A100" s="54"/>
      <c r="B100" s="104" t="s">
        <v>64</v>
      </c>
      <c r="C100" s="4"/>
      <c r="D100" s="4"/>
      <c r="E100" s="47"/>
      <c r="F100" s="4"/>
      <c r="G100" s="4"/>
      <c r="H100" s="47"/>
      <c r="I100" s="48"/>
      <c r="J100" s="48"/>
      <c r="K100" s="47"/>
      <c r="L100" s="48"/>
      <c r="M100" s="48"/>
      <c r="N100" s="48"/>
      <c r="O100" s="57"/>
      <c r="P100" s="63"/>
      <c r="Q100" s="49"/>
      <c r="R100" s="49"/>
      <c r="S100" s="49"/>
      <c r="T100" s="171">
        <f t="shared" si="17"/>
        <v>0</v>
      </c>
      <c r="U100" s="29"/>
    </row>
    <row r="101" spans="1:21">
      <c r="A101" s="54"/>
      <c r="B101" s="43" t="s">
        <v>65</v>
      </c>
      <c r="C101" s="4"/>
      <c r="D101" s="4"/>
      <c r="E101" s="47"/>
      <c r="F101" s="4"/>
      <c r="G101" s="4"/>
      <c r="H101" s="47">
        <v>2</v>
      </c>
      <c r="I101" s="48" t="s">
        <v>30</v>
      </c>
      <c r="J101" s="48" t="s">
        <v>27</v>
      </c>
      <c r="K101" s="47">
        <v>1</v>
      </c>
      <c r="L101" s="48" t="s">
        <v>31</v>
      </c>
      <c r="M101" s="48" t="s">
        <v>27</v>
      </c>
      <c r="N101" s="48" t="s">
        <v>28</v>
      </c>
      <c r="O101" s="47">
        <v>300000</v>
      </c>
      <c r="P101" s="63"/>
      <c r="Q101" s="49"/>
      <c r="R101" s="49"/>
      <c r="S101" s="49">
        <f>O101*K101*H101</f>
        <v>600000</v>
      </c>
      <c r="T101" s="171">
        <f t="shared" si="17"/>
        <v>600000</v>
      </c>
      <c r="U101" s="29"/>
    </row>
    <row r="102" spans="1:21" s="73" customFormat="1" ht="13.8">
      <c r="A102" s="66"/>
      <c r="B102" s="55" t="s">
        <v>172</v>
      </c>
      <c r="C102" s="4"/>
      <c r="D102" s="4"/>
      <c r="E102" s="47"/>
      <c r="F102" s="4"/>
      <c r="G102" s="4"/>
      <c r="H102" s="47"/>
      <c r="I102" s="48"/>
      <c r="J102" s="48"/>
      <c r="K102" s="47"/>
      <c r="L102" s="48"/>
      <c r="M102" s="48"/>
      <c r="N102" s="48"/>
      <c r="O102" s="47"/>
      <c r="P102" s="70"/>
      <c r="Q102" s="49">
        <f>O102*K102*H102</f>
        <v>0</v>
      </c>
      <c r="R102" s="71"/>
      <c r="S102" s="49"/>
      <c r="T102" s="171">
        <f t="shared" si="17"/>
        <v>0</v>
      </c>
    </row>
    <row r="103" spans="1:21">
      <c r="A103" s="54"/>
      <c r="B103" s="43" t="s">
        <v>56</v>
      </c>
      <c r="C103" s="4"/>
      <c r="D103" s="4"/>
      <c r="E103" s="47"/>
      <c r="F103" s="4"/>
      <c r="G103" s="4"/>
      <c r="H103" s="47">
        <v>3</v>
      </c>
      <c r="I103" s="48" t="s">
        <v>30</v>
      </c>
      <c r="J103" s="48" t="s">
        <v>27</v>
      </c>
      <c r="K103" s="47">
        <v>1</v>
      </c>
      <c r="L103" s="48" t="s">
        <v>26</v>
      </c>
      <c r="M103" s="48" t="s">
        <v>27</v>
      </c>
      <c r="N103" s="48" t="s">
        <v>28</v>
      </c>
      <c r="O103" s="47">
        <v>5000000</v>
      </c>
      <c r="P103" s="63"/>
      <c r="Q103" s="49">
        <f>O103*K103*H103</f>
        <v>15000000</v>
      </c>
      <c r="R103" s="49"/>
      <c r="S103" s="49"/>
      <c r="T103" s="171">
        <f t="shared" si="17"/>
        <v>15000000</v>
      </c>
      <c r="U103" s="29"/>
    </row>
    <row r="104" spans="1:21">
      <c r="A104" s="54"/>
      <c r="B104" s="43" t="s">
        <v>311</v>
      </c>
      <c r="C104" s="4"/>
      <c r="D104" s="4"/>
      <c r="E104" s="47"/>
      <c r="F104" s="4"/>
      <c r="G104" s="4"/>
      <c r="H104" s="47">
        <v>3</v>
      </c>
      <c r="I104" s="48" t="s">
        <v>30</v>
      </c>
      <c r="J104" s="48" t="s">
        <v>27</v>
      </c>
      <c r="K104" s="47">
        <v>1</v>
      </c>
      <c r="L104" s="48" t="s">
        <v>26</v>
      </c>
      <c r="M104" s="48" t="s">
        <v>27</v>
      </c>
      <c r="N104" s="48" t="s">
        <v>28</v>
      </c>
      <c r="O104" s="47">
        <v>300000</v>
      </c>
      <c r="P104" s="63"/>
      <c r="Q104" s="49">
        <f>O104*K104*H104</f>
        <v>900000</v>
      </c>
      <c r="R104" s="49"/>
      <c r="S104" s="49"/>
      <c r="T104" s="171">
        <f t="shared" si="17"/>
        <v>900000</v>
      </c>
      <c r="U104" s="29"/>
    </row>
    <row r="105" spans="1:21">
      <c r="A105" s="54"/>
      <c r="B105" s="43" t="s">
        <v>312</v>
      </c>
      <c r="C105" s="4"/>
      <c r="D105" s="4"/>
      <c r="E105" s="47"/>
      <c r="F105" s="4"/>
      <c r="G105" s="4"/>
      <c r="H105" s="47">
        <v>3</v>
      </c>
      <c r="I105" s="48" t="s">
        <v>30</v>
      </c>
      <c r="J105" s="48" t="s">
        <v>27</v>
      </c>
      <c r="K105" s="47">
        <v>1</v>
      </c>
      <c r="L105" s="48" t="s">
        <v>26</v>
      </c>
      <c r="M105" s="48" t="s">
        <v>27</v>
      </c>
      <c r="N105" s="48" t="s">
        <v>28</v>
      </c>
      <c r="O105" s="47">
        <v>500000</v>
      </c>
      <c r="P105" s="63"/>
      <c r="Q105" s="49">
        <f>O105*K105*H105</f>
        <v>1500000</v>
      </c>
      <c r="R105" s="49"/>
      <c r="S105" s="49"/>
      <c r="T105" s="171">
        <f t="shared" si="17"/>
        <v>1500000</v>
      </c>
      <c r="U105" s="29"/>
    </row>
    <row r="106" spans="1:21">
      <c r="A106" s="54"/>
      <c r="B106" s="43" t="s">
        <v>313</v>
      </c>
      <c r="C106" s="4"/>
      <c r="D106" s="4"/>
      <c r="E106" s="47"/>
      <c r="F106" s="4"/>
      <c r="G106" s="4"/>
      <c r="H106" s="47">
        <v>3</v>
      </c>
      <c r="I106" s="48" t="s">
        <v>30</v>
      </c>
      <c r="J106" s="48" t="s">
        <v>27</v>
      </c>
      <c r="K106" s="47">
        <v>1</v>
      </c>
      <c r="L106" s="48" t="s">
        <v>26</v>
      </c>
      <c r="M106" s="48" t="s">
        <v>27</v>
      </c>
      <c r="N106" s="48" t="s">
        <v>28</v>
      </c>
      <c r="O106" s="47">
        <v>300000</v>
      </c>
      <c r="P106" s="63"/>
      <c r="Q106" s="49">
        <f>O106*K106*H106</f>
        <v>900000</v>
      </c>
      <c r="R106" s="49"/>
      <c r="S106" s="49"/>
      <c r="T106" s="171">
        <f t="shared" si="17"/>
        <v>900000</v>
      </c>
      <c r="U106" s="29"/>
    </row>
    <row r="107" spans="1:21">
      <c r="A107" s="54"/>
      <c r="B107" s="43" t="s">
        <v>364</v>
      </c>
      <c r="C107" s="4"/>
      <c r="D107" s="4"/>
      <c r="E107" s="47"/>
      <c r="F107" s="4"/>
      <c r="G107" s="4"/>
      <c r="H107" s="47">
        <v>3</v>
      </c>
      <c r="I107" s="48" t="s">
        <v>30</v>
      </c>
      <c r="J107" s="48" t="s">
        <v>27</v>
      </c>
      <c r="K107" s="47">
        <v>1</v>
      </c>
      <c r="L107" s="48" t="s">
        <v>26</v>
      </c>
      <c r="M107" s="48" t="s">
        <v>27</v>
      </c>
      <c r="N107" s="48" t="s">
        <v>28</v>
      </c>
      <c r="O107" s="47">
        <f>174000+171000</f>
        <v>345000</v>
      </c>
      <c r="P107" s="63"/>
      <c r="Q107" s="49">
        <f>O107*H107</f>
        <v>1035000</v>
      </c>
      <c r="R107" s="49"/>
      <c r="S107" s="49"/>
      <c r="T107" s="171">
        <f t="shared" si="17"/>
        <v>1035000</v>
      </c>
      <c r="U107" s="29"/>
    </row>
    <row r="108" spans="1:21">
      <c r="A108" s="54"/>
      <c r="B108" s="43" t="s">
        <v>365</v>
      </c>
      <c r="C108" s="4"/>
      <c r="D108" s="4"/>
      <c r="E108" s="47"/>
      <c r="F108" s="4"/>
      <c r="G108" s="4"/>
      <c r="H108" s="47">
        <v>3</v>
      </c>
      <c r="I108" s="48" t="s">
        <v>30</v>
      </c>
      <c r="J108" s="48" t="s">
        <v>27</v>
      </c>
      <c r="K108" s="47">
        <v>1</v>
      </c>
      <c r="L108" s="48" t="s">
        <v>26</v>
      </c>
      <c r="M108" s="48" t="s">
        <v>27</v>
      </c>
      <c r="N108" s="48" t="s">
        <v>28</v>
      </c>
      <c r="O108" s="47">
        <f>174000+171000</f>
        <v>345000</v>
      </c>
      <c r="P108" s="63"/>
      <c r="Q108" s="49">
        <f>O108*H108</f>
        <v>1035000</v>
      </c>
      <c r="R108" s="49"/>
      <c r="S108" s="49"/>
      <c r="T108" s="171">
        <f t="shared" ref="T108" si="19">SUM(P108:S108)</f>
        <v>1035000</v>
      </c>
      <c r="U108" s="29"/>
    </row>
    <row r="109" spans="1:21" s="73" customFormat="1" ht="13.8">
      <c r="A109" s="66"/>
      <c r="B109" s="43" t="s">
        <v>53</v>
      </c>
      <c r="C109" s="4"/>
      <c r="D109" s="4"/>
      <c r="E109" s="47"/>
      <c r="F109" s="4"/>
      <c r="G109" s="4"/>
      <c r="H109" s="47">
        <v>3</v>
      </c>
      <c r="I109" s="48" t="s">
        <v>30</v>
      </c>
      <c r="J109" s="48" t="s">
        <v>27</v>
      </c>
      <c r="K109" s="47">
        <v>10</v>
      </c>
      <c r="L109" s="48" t="s">
        <v>31</v>
      </c>
      <c r="M109" s="48" t="s">
        <v>27</v>
      </c>
      <c r="N109" s="48" t="s">
        <v>28</v>
      </c>
      <c r="O109" s="47">
        <v>380000</v>
      </c>
      <c r="P109" s="70"/>
      <c r="Q109" s="49">
        <f t="shared" ref="Q109:Q110" si="20">O109*K109*H109</f>
        <v>11400000</v>
      </c>
      <c r="R109" s="71"/>
      <c r="S109" s="49"/>
      <c r="T109" s="171">
        <f t="shared" si="17"/>
        <v>11400000</v>
      </c>
    </row>
    <row r="110" spans="1:21" s="73" customFormat="1" ht="13.8">
      <c r="A110" s="66"/>
      <c r="B110" s="43" t="s">
        <v>173</v>
      </c>
      <c r="C110" s="4"/>
      <c r="D110" s="4"/>
      <c r="E110" s="47"/>
      <c r="F110" s="4"/>
      <c r="G110" s="4"/>
      <c r="H110" s="47">
        <v>3</v>
      </c>
      <c r="I110" s="48" t="s">
        <v>30</v>
      </c>
      <c r="J110" s="48" t="s">
        <v>27</v>
      </c>
      <c r="K110" s="47">
        <v>9</v>
      </c>
      <c r="L110" s="48" t="s">
        <v>31</v>
      </c>
      <c r="M110" s="48" t="s">
        <v>27</v>
      </c>
      <c r="N110" s="48" t="s">
        <v>28</v>
      </c>
      <c r="O110" s="47">
        <v>400000</v>
      </c>
      <c r="P110" s="70"/>
      <c r="Q110" s="49">
        <f t="shared" si="20"/>
        <v>10800000</v>
      </c>
      <c r="R110" s="71"/>
      <c r="S110" s="49"/>
      <c r="T110" s="171">
        <f t="shared" si="17"/>
        <v>10800000</v>
      </c>
    </row>
    <row r="111" spans="1:21">
      <c r="A111" s="54"/>
      <c r="B111" s="43"/>
      <c r="C111" s="4"/>
      <c r="D111" s="4"/>
      <c r="E111" s="47"/>
      <c r="F111" s="4"/>
      <c r="G111" s="4"/>
      <c r="H111" s="47"/>
      <c r="I111" s="48"/>
      <c r="J111" s="48"/>
      <c r="K111" s="47"/>
      <c r="L111" s="48"/>
      <c r="M111" s="48"/>
      <c r="N111" s="48"/>
      <c r="O111" s="47"/>
      <c r="P111" s="63"/>
      <c r="Q111" s="49"/>
      <c r="R111" s="63"/>
      <c r="S111" s="49"/>
      <c r="T111" s="171">
        <f t="shared" si="17"/>
        <v>0</v>
      </c>
      <c r="U111" s="29"/>
    </row>
    <row r="112" spans="1:21" ht="14.4">
      <c r="A112" s="54"/>
      <c r="B112" s="4" t="s">
        <v>261</v>
      </c>
      <c r="C112" s="83">
        <v>1</v>
      </c>
      <c r="D112" s="316" t="s">
        <v>314</v>
      </c>
      <c r="E112" s="47"/>
      <c r="F112" s="4"/>
      <c r="G112" s="316"/>
      <c r="H112" s="47"/>
      <c r="I112" s="316" t="s">
        <v>315</v>
      </c>
      <c r="J112" s="48"/>
      <c r="K112" s="47"/>
      <c r="L112" s="48"/>
      <c r="M112" s="48"/>
      <c r="N112" s="48"/>
      <c r="O112" s="47"/>
      <c r="P112" s="63"/>
      <c r="Q112" s="49"/>
      <c r="R112" s="63"/>
      <c r="S112" s="49"/>
      <c r="T112" s="171">
        <f t="shared" si="17"/>
        <v>0</v>
      </c>
      <c r="U112" s="29"/>
    </row>
    <row r="113" spans="1:21" ht="14.4">
      <c r="A113" s="54"/>
      <c r="B113" s="43"/>
      <c r="C113" s="83">
        <v>2</v>
      </c>
      <c r="D113" s="316" t="s">
        <v>316</v>
      </c>
      <c r="E113" s="47"/>
      <c r="F113" s="4"/>
      <c r="G113" s="316"/>
      <c r="H113" s="47"/>
      <c r="I113" s="316" t="s">
        <v>315</v>
      </c>
      <c r="J113" s="48"/>
      <c r="K113" s="47"/>
      <c r="L113" s="48"/>
      <c r="M113" s="48"/>
      <c r="N113" s="48"/>
      <c r="O113" s="47"/>
      <c r="P113" s="63"/>
      <c r="Q113" s="49"/>
      <c r="R113" s="63"/>
      <c r="S113" s="49"/>
      <c r="T113" s="171">
        <f t="shared" si="17"/>
        <v>0</v>
      </c>
      <c r="U113" s="29"/>
    </row>
    <row r="114" spans="1:21" ht="14.4">
      <c r="A114" s="54"/>
      <c r="B114" s="43"/>
      <c r="C114" s="83">
        <v>3</v>
      </c>
      <c r="D114" s="316" t="s">
        <v>317</v>
      </c>
      <c r="E114" s="47"/>
      <c r="F114" s="4"/>
      <c r="G114" s="316"/>
      <c r="H114" s="47"/>
      <c r="I114" s="316" t="s">
        <v>315</v>
      </c>
      <c r="J114" s="48"/>
      <c r="K114" s="47"/>
      <c r="L114" s="48"/>
      <c r="M114" s="48"/>
      <c r="N114" s="48"/>
      <c r="O114" s="47"/>
      <c r="P114" s="63"/>
      <c r="Q114" s="49"/>
      <c r="R114" s="63"/>
      <c r="S114" s="49"/>
      <c r="T114" s="171">
        <f t="shared" si="17"/>
        <v>0</v>
      </c>
      <c r="U114" s="29"/>
    </row>
    <row r="115" spans="1:21" ht="14.4">
      <c r="A115" s="54"/>
      <c r="B115" s="43"/>
      <c r="C115" s="83">
        <v>4</v>
      </c>
      <c r="D115" s="316" t="s">
        <v>318</v>
      </c>
      <c r="E115" s="47"/>
      <c r="F115" s="4"/>
      <c r="G115" s="316"/>
      <c r="H115" s="47"/>
      <c r="I115" s="316" t="s">
        <v>315</v>
      </c>
      <c r="J115" s="48"/>
      <c r="K115" s="47"/>
      <c r="L115" s="48"/>
      <c r="M115" s="48"/>
      <c r="N115" s="48"/>
      <c r="O115" s="47"/>
      <c r="P115" s="63"/>
      <c r="Q115" s="49"/>
      <c r="R115" s="63"/>
      <c r="S115" s="49"/>
      <c r="T115" s="171">
        <f t="shared" si="17"/>
        <v>0</v>
      </c>
      <c r="U115" s="29"/>
    </row>
    <row r="116" spans="1:21" ht="14.4">
      <c r="A116" s="54"/>
      <c r="B116" s="43"/>
      <c r="C116" s="83">
        <v>5</v>
      </c>
      <c r="D116" s="316" t="s">
        <v>319</v>
      </c>
      <c r="E116" s="47"/>
      <c r="F116" s="4"/>
      <c r="G116" s="316"/>
      <c r="H116" s="47"/>
      <c r="I116" s="316" t="s">
        <v>315</v>
      </c>
      <c r="J116" s="48"/>
      <c r="K116" s="47"/>
      <c r="L116" s="48"/>
      <c r="M116" s="48"/>
      <c r="N116" s="48"/>
      <c r="O116" s="47"/>
      <c r="P116" s="63"/>
      <c r="Q116" s="49"/>
      <c r="R116" s="63"/>
      <c r="S116" s="49"/>
      <c r="T116" s="171">
        <f t="shared" si="17"/>
        <v>0</v>
      </c>
      <c r="U116" s="29"/>
    </row>
    <row r="117" spans="1:21" ht="14.4">
      <c r="A117" s="54"/>
      <c r="B117" s="43"/>
      <c r="C117" s="83">
        <v>6</v>
      </c>
      <c r="D117" s="316" t="s">
        <v>320</v>
      </c>
      <c r="E117" s="47"/>
      <c r="F117" s="4"/>
      <c r="G117" s="316"/>
      <c r="H117" s="47"/>
      <c r="I117" s="316" t="s">
        <v>315</v>
      </c>
      <c r="J117" s="48"/>
      <c r="K117" s="47"/>
      <c r="L117" s="48"/>
      <c r="M117" s="48"/>
      <c r="N117" s="48"/>
      <c r="O117" s="47"/>
      <c r="P117" s="63"/>
      <c r="Q117" s="49"/>
      <c r="R117" s="63"/>
      <c r="S117" s="49"/>
      <c r="T117" s="171">
        <f t="shared" si="17"/>
        <v>0</v>
      </c>
      <c r="U117" s="29"/>
    </row>
    <row r="118" spans="1:21" ht="14.4">
      <c r="A118" s="54"/>
      <c r="B118" s="43"/>
      <c r="C118" s="83">
        <v>7</v>
      </c>
      <c r="D118" s="316" t="s">
        <v>321</v>
      </c>
      <c r="E118" s="47"/>
      <c r="F118" s="4"/>
      <c r="G118" s="316"/>
      <c r="H118" s="47"/>
      <c r="I118" s="316" t="s">
        <v>315</v>
      </c>
      <c r="J118" s="48"/>
      <c r="K118" s="47"/>
      <c r="L118" s="48"/>
      <c r="M118" s="48"/>
      <c r="N118" s="48"/>
      <c r="O118" s="47"/>
      <c r="P118" s="63"/>
      <c r="Q118" s="49"/>
      <c r="R118" s="63"/>
      <c r="S118" s="49"/>
      <c r="T118" s="171">
        <f t="shared" si="17"/>
        <v>0</v>
      </c>
      <c r="U118" s="29"/>
    </row>
    <row r="119" spans="1:21" ht="14.4">
      <c r="A119" s="54"/>
      <c r="B119" s="43"/>
      <c r="C119" s="83">
        <v>8</v>
      </c>
      <c r="D119" s="316" t="s">
        <v>322</v>
      </c>
      <c r="E119" s="47"/>
      <c r="F119" s="4"/>
      <c r="G119" s="316"/>
      <c r="H119" s="47"/>
      <c r="I119" s="316" t="s">
        <v>315</v>
      </c>
      <c r="J119" s="48"/>
      <c r="K119" s="47"/>
      <c r="L119" s="48"/>
      <c r="M119" s="48"/>
      <c r="N119" s="48"/>
      <c r="O119" s="47"/>
      <c r="P119" s="63"/>
      <c r="Q119" s="49"/>
      <c r="R119" s="63"/>
      <c r="S119" s="49"/>
      <c r="T119" s="171">
        <f t="shared" si="17"/>
        <v>0</v>
      </c>
      <c r="U119" s="29"/>
    </row>
    <row r="120" spans="1:21" ht="14.4">
      <c r="A120" s="54"/>
      <c r="B120" s="43"/>
      <c r="C120" s="83">
        <v>9</v>
      </c>
      <c r="D120" s="316" t="s">
        <v>323</v>
      </c>
      <c r="E120" s="47"/>
      <c r="F120" s="4"/>
      <c r="G120" s="316"/>
      <c r="H120" s="47"/>
      <c r="I120" s="316" t="s">
        <v>315</v>
      </c>
      <c r="J120" s="48"/>
      <c r="K120" s="47"/>
      <c r="L120" s="48"/>
      <c r="M120" s="48"/>
      <c r="N120" s="48"/>
      <c r="O120" s="47"/>
      <c r="P120" s="63"/>
      <c r="Q120" s="49"/>
      <c r="R120" s="63"/>
      <c r="S120" s="49"/>
      <c r="T120" s="171">
        <f t="shared" si="17"/>
        <v>0</v>
      </c>
      <c r="U120" s="29"/>
    </row>
    <row r="121" spans="1:21" ht="14.4">
      <c r="A121" s="54"/>
      <c r="B121" s="43"/>
      <c r="C121" s="83">
        <v>10</v>
      </c>
      <c r="D121" s="316" t="s">
        <v>324</v>
      </c>
      <c r="E121" s="47"/>
      <c r="F121" s="4"/>
      <c r="G121" s="316"/>
      <c r="H121" s="47"/>
      <c r="I121" s="316" t="s">
        <v>325</v>
      </c>
      <c r="J121" s="48"/>
      <c r="K121" s="47"/>
      <c r="L121" s="48"/>
      <c r="M121" s="48"/>
      <c r="N121" s="48"/>
      <c r="O121" s="47"/>
      <c r="P121" s="63"/>
      <c r="Q121" s="49"/>
      <c r="R121" s="63"/>
      <c r="S121" s="49"/>
      <c r="T121" s="171">
        <f t="shared" si="17"/>
        <v>0</v>
      </c>
      <c r="U121" s="29"/>
    </row>
    <row r="122" spans="1:21" ht="14.4">
      <c r="A122" s="54"/>
      <c r="B122" s="43"/>
      <c r="C122" s="83">
        <v>11</v>
      </c>
      <c r="D122" s="316" t="s">
        <v>326</v>
      </c>
      <c r="E122" s="47"/>
      <c r="F122" s="4"/>
      <c r="G122" s="316"/>
      <c r="H122" s="47"/>
      <c r="I122" s="316" t="s">
        <v>327</v>
      </c>
      <c r="J122" s="48"/>
      <c r="K122" s="47"/>
      <c r="L122" s="48"/>
      <c r="M122" s="48"/>
      <c r="N122" s="48"/>
      <c r="O122" s="47"/>
      <c r="P122" s="63"/>
      <c r="Q122" s="49"/>
      <c r="R122" s="63"/>
      <c r="S122" s="49"/>
      <c r="T122" s="171">
        <f t="shared" si="17"/>
        <v>0</v>
      </c>
      <c r="U122" s="29"/>
    </row>
    <row r="123" spans="1:21" ht="14.4">
      <c r="A123" s="54"/>
      <c r="B123" s="43"/>
      <c r="C123" s="83">
        <v>12</v>
      </c>
      <c r="D123" s="316" t="s">
        <v>328</v>
      </c>
      <c r="E123" s="47"/>
      <c r="F123" s="4"/>
      <c r="G123" s="316"/>
      <c r="H123" s="47"/>
      <c r="I123" s="316" t="s">
        <v>327</v>
      </c>
      <c r="J123" s="48"/>
      <c r="K123" s="47"/>
      <c r="L123" s="48"/>
      <c r="M123" s="48"/>
      <c r="N123" s="48"/>
      <c r="O123" s="47"/>
      <c r="P123" s="63"/>
      <c r="Q123" s="49"/>
      <c r="R123" s="63"/>
      <c r="S123" s="49"/>
      <c r="T123" s="171">
        <f t="shared" si="17"/>
        <v>0</v>
      </c>
      <c r="U123" s="29"/>
    </row>
    <row r="124" spans="1:21" ht="14.4">
      <c r="A124" s="54"/>
      <c r="B124" s="43"/>
      <c r="C124" s="83">
        <v>13</v>
      </c>
      <c r="D124" s="316" t="s">
        <v>329</v>
      </c>
      <c r="E124" s="47"/>
      <c r="F124" s="4"/>
      <c r="G124" s="316"/>
      <c r="H124" s="47"/>
      <c r="I124" s="316" t="s">
        <v>327</v>
      </c>
      <c r="J124" s="48"/>
      <c r="K124" s="47"/>
      <c r="L124" s="48"/>
      <c r="M124" s="48"/>
      <c r="N124" s="48"/>
      <c r="O124" s="47"/>
      <c r="P124" s="63"/>
      <c r="Q124" s="49"/>
      <c r="R124" s="63"/>
      <c r="S124" s="49"/>
      <c r="T124" s="171">
        <f t="shared" si="17"/>
        <v>0</v>
      </c>
      <c r="U124" s="29"/>
    </row>
    <row r="125" spans="1:21" ht="14.4">
      <c r="A125" s="54"/>
      <c r="B125" s="43"/>
      <c r="C125" s="83">
        <v>14</v>
      </c>
      <c r="D125" s="316" t="s">
        <v>330</v>
      </c>
      <c r="E125" s="47"/>
      <c r="F125" s="4"/>
      <c r="G125" s="316"/>
      <c r="H125" s="47"/>
      <c r="I125" s="316" t="s">
        <v>327</v>
      </c>
      <c r="J125" s="48"/>
      <c r="K125" s="47"/>
      <c r="L125" s="48"/>
      <c r="M125" s="48"/>
      <c r="N125" s="48"/>
      <c r="O125" s="47"/>
      <c r="P125" s="63"/>
      <c r="Q125" s="49"/>
      <c r="R125" s="63"/>
      <c r="S125" s="49"/>
      <c r="T125" s="171">
        <f t="shared" si="17"/>
        <v>0</v>
      </c>
      <c r="U125" s="29"/>
    </row>
    <row r="126" spans="1:21" ht="14.4">
      <c r="A126" s="54"/>
      <c r="B126" s="43"/>
      <c r="C126" s="83">
        <v>15</v>
      </c>
      <c r="D126" s="316" t="s">
        <v>331</v>
      </c>
      <c r="E126" s="47"/>
      <c r="F126" s="4"/>
      <c r="G126" s="316"/>
      <c r="H126" s="47"/>
      <c r="I126" s="316" t="s">
        <v>332</v>
      </c>
      <c r="J126" s="48"/>
      <c r="K126" s="47"/>
      <c r="L126" s="48"/>
      <c r="M126" s="48"/>
      <c r="N126" s="48"/>
      <c r="O126" s="47"/>
      <c r="P126" s="63"/>
      <c r="Q126" s="49"/>
      <c r="R126" s="63"/>
      <c r="S126" s="49"/>
      <c r="T126" s="171">
        <f t="shared" si="17"/>
        <v>0</v>
      </c>
      <c r="U126" s="29"/>
    </row>
    <row r="127" spans="1:21" ht="14.4">
      <c r="A127" s="54"/>
      <c r="B127" s="43"/>
      <c r="C127" s="83">
        <v>16</v>
      </c>
      <c r="D127" s="316" t="s">
        <v>333</v>
      </c>
      <c r="E127" s="47"/>
      <c r="F127" s="4"/>
      <c r="G127" s="316"/>
      <c r="H127" s="47"/>
      <c r="I127" s="316" t="s">
        <v>332</v>
      </c>
      <c r="J127" s="48"/>
      <c r="K127" s="47"/>
      <c r="L127" s="48"/>
      <c r="M127" s="48"/>
      <c r="N127" s="48"/>
      <c r="O127" s="47"/>
      <c r="P127" s="63"/>
      <c r="Q127" s="49"/>
      <c r="R127" s="63"/>
      <c r="S127" s="49"/>
      <c r="T127" s="171">
        <f t="shared" si="17"/>
        <v>0</v>
      </c>
      <c r="U127" s="29"/>
    </row>
    <row r="128" spans="1:21" ht="14.4">
      <c r="A128" s="54"/>
      <c r="B128" s="43"/>
      <c r="C128" s="83">
        <v>17</v>
      </c>
      <c r="D128" s="316" t="s">
        <v>334</v>
      </c>
      <c r="E128" s="47"/>
      <c r="F128" s="4"/>
      <c r="G128" s="316"/>
      <c r="H128" s="47"/>
      <c r="I128" s="316" t="s">
        <v>332</v>
      </c>
      <c r="J128" s="48"/>
      <c r="K128" s="47"/>
      <c r="L128" s="48"/>
      <c r="M128" s="48"/>
      <c r="N128" s="48"/>
      <c r="O128" s="47"/>
      <c r="P128" s="63"/>
      <c r="Q128" s="49"/>
      <c r="R128" s="63"/>
      <c r="S128" s="49"/>
      <c r="T128" s="171">
        <f t="shared" si="17"/>
        <v>0</v>
      </c>
      <c r="U128" s="29"/>
    </row>
    <row r="129" spans="1:21" ht="14.4">
      <c r="A129" s="54"/>
      <c r="B129" s="43"/>
      <c r="C129" s="83">
        <v>18</v>
      </c>
      <c r="D129" s="316" t="s">
        <v>335</v>
      </c>
      <c r="E129" s="47"/>
      <c r="F129" s="4"/>
      <c r="G129" s="316"/>
      <c r="H129" s="47"/>
      <c r="I129" s="316" t="s">
        <v>332</v>
      </c>
      <c r="J129" s="48"/>
      <c r="K129" s="47"/>
      <c r="L129" s="48"/>
      <c r="M129" s="48"/>
      <c r="N129" s="48"/>
      <c r="O129" s="47"/>
      <c r="P129" s="63"/>
      <c r="Q129" s="49"/>
      <c r="R129" s="63"/>
      <c r="S129" s="49"/>
      <c r="T129" s="171">
        <f t="shared" si="17"/>
        <v>0</v>
      </c>
      <c r="U129" s="29"/>
    </row>
    <row r="130" spans="1:21" ht="14.4">
      <c r="A130" s="54"/>
      <c r="B130" s="43"/>
      <c r="C130" s="83">
        <v>19</v>
      </c>
      <c r="D130" s="320" t="s">
        <v>336</v>
      </c>
      <c r="E130" s="47"/>
      <c r="F130" s="4"/>
      <c r="G130" s="318"/>
      <c r="H130" s="47"/>
      <c r="I130" s="318" t="s">
        <v>315</v>
      </c>
      <c r="J130" s="48"/>
      <c r="K130" s="47"/>
      <c r="L130" s="48"/>
      <c r="M130" s="48"/>
      <c r="N130" s="48"/>
      <c r="O130" s="47"/>
      <c r="P130" s="63"/>
      <c r="Q130" s="49"/>
      <c r="R130" s="63"/>
      <c r="S130" s="49"/>
      <c r="T130" s="171">
        <f t="shared" si="17"/>
        <v>0</v>
      </c>
      <c r="U130" s="29"/>
    </row>
    <row r="131" spans="1:21" s="5" customFormat="1">
      <c r="A131" s="6"/>
      <c r="B131" s="55"/>
      <c r="C131" s="46"/>
      <c r="D131" s="4"/>
      <c r="E131" s="4"/>
      <c r="F131" s="4"/>
      <c r="G131" s="52"/>
      <c r="H131" s="52"/>
      <c r="I131" s="4"/>
      <c r="J131" s="52"/>
      <c r="K131" s="52"/>
      <c r="L131" s="52"/>
      <c r="M131" s="4"/>
      <c r="N131" s="80"/>
      <c r="O131" s="81"/>
      <c r="P131" s="65"/>
      <c r="Q131" s="65"/>
      <c r="R131" s="65"/>
      <c r="S131" s="49"/>
      <c r="T131" s="171">
        <f t="shared" si="17"/>
        <v>0</v>
      </c>
    </row>
    <row r="132" spans="1:21" s="73" customFormat="1" ht="13.8">
      <c r="A132" s="66" t="s">
        <v>516</v>
      </c>
      <c r="B132" s="55" t="s">
        <v>337</v>
      </c>
      <c r="C132" s="4"/>
      <c r="D132" s="4"/>
      <c r="E132" s="47"/>
      <c r="F132" s="4"/>
      <c r="G132" s="4"/>
      <c r="H132" s="47"/>
      <c r="I132" s="48"/>
      <c r="J132" s="48"/>
      <c r="K132" s="47"/>
      <c r="L132" s="48"/>
      <c r="M132" s="48"/>
      <c r="N132" s="48"/>
      <c r="O132" s="47"/>
      <c r="P132" s="70"/>
      <c r="Q132" s="49">
        <f t="shared" ref="Q132" si="21">O132*K132*H132</f>
        <v>0</v>
      </c>
      <c r="R132" s="71"/>
      <c r="S132" s="49"/>
      <c r="T132" s="171">
        <f t="shared" si="17"/>
        <v>0</v>
      </c>
      <c r="U132" s="370">
        <f>SUM(T134:T144)</f>
        <v>41830000</v>
      </c>
    </row>
    <row r="133" spans="1:21">
      <c r="A133" s="54"/>
      <c r="B133" s="55" t="s">
        <v>60</v>
      </c>
      <c r="C133" s="4"/>
      <c r="D133" s="4"/>
      <c r="E133" s="47"/>
      <c r="F133" s="4"/>
      <c r="G133" s="4"/>
      <c r="H133" s="59"/>
      <c r="I133" s="60"/>
      <c r="J133" s="61"/>
      <c r="K133" s="59"/>
      <c r="L133" s="60"/>
      <c r="M133" s="61"/>
      <c r="N133" s="60"/>
      <c r="O133" s="62"/>
      <c r="P133" s="63"/>
      <c r="Q133" s="49"/>
      <c r="R133" s="49"/>
      <c r="S133" s="49"/>
      <c r="T133" s="171">
        <f t="shared" si="17"/>
        <v>0</v>
      </c>
      <c r="U133" s="29"/>
    </row>
    <row r="134" spans="1:21">
      <c r="A134" s="54"/>
      <c r="B134" s="43" t="s">
        <v>62</v>
      </c>
      <c r="C134" s="56"/>
      <c r="D134" s="4"/>
      <c r="E134" s="47"/>
      <c r="F134" s="4"/>
      <c r="G134" s="4"/>
      <c r="H134" s="47"/>
      <c r="I134" s="48"/>
      <c r="J134" s="48"/>
      <c r="K134" s="47">
        <v>2</v>
      </c>
      <c r="L134" s="48" t="s">
        <v>31</v>
      </c>
      <c r="M134" s="48" t="s">
        <v>27</v>
      </c>
      <c r="N134" s="48" t="s">
        <v>28</v>
      </c>
      <c r="O134" s="47">
        <v>820000</v>
      </c>
      <c r="P134" s="63"/>
      <c r="Q134" s="49"/>
      <c r="R134" s="49">
        <f>O134*K134</f>
        <v>1640000</v>
      </c>
      <c r="S134" s="49"/>
      <c r="T134" s="171">
        <f t="shared" si="17"/>
        <v>1640000</v>
      </c>
      <c r="U134" s="29"/>
    </row>
    <row r="135" spans="1:21">
      <c r="A135" s="54"/>
      <c r="B135" s="4" t="s">
        <v>460</v>
      </c>
      <c r="C135" s="56"/>
      <c r="D135" s="4"/>
      <c r="E135" s="47"/>
      <c r="F135" s="4"/>
      <c r="G135" s="4"/>
      <c r="H135" s="47"/>
      <c r="I135" s="48"/>
      <c r="J135" s="48"/>
      <c r="K135" s="47">
        <v>2</v>
      </c>
      <c r="L135" s="48" t="s">
        <v>31</v>
      </c>
      <c r="M135" s="48" t="s">
        <v>27</v>
      </c>
      <c r="N135" s="48" t="s">
        <v>28</v>
      </c>
      <c r="O135" s="47">
        <v>1000000</v>
      </c>
      <c r="P135" s="63"/>
      <c r="Q135" s="49"/>
      <c r="R135" s="49">
        <f>O135*K135</f>
        <v>2000000</v>
      </c>
      <c r="S135" s="49"/>
      <c r="T135" s="171">
        <f t="shared" si="17"/>
        <v>2000000</v>
      </c>
      <c r="U135" s="29"/>
    </row>
    <row r="136" spans="1:21">
      <c r="A136" s="54"/>
      <c r="B136" s="104" t="s">
        <v>64</v>
      </c>
      <c r="C136" s="4"/>
      <c r="D136" s="4"/>
      <c r="E136" s="47"/>
      <c r="F136" s="4"/>
      <c r="G136" s="4"/>
      <c r="H136" s="47"/>
      <c r="I136" s="48"/>
      <c r="J136" s="48"/>
      <c r="K136" s="47"/>
      <c r="L136" s="48"/>
      <c r="M136" s="48"/>
      <c r="N136" s="48"/>
      <c r="O136" s="57"/>
      <c r="P136" s="63"/>
      <c r="Q136" s="49"/>
      <c r="R136" s="49"/>
      <c r="S136" s="49"/>
      <c r="T136" s="171">
        <f t="shared" si="17"/>
        <v>0</v>
      </c>
      <c r="U136" s="29"/>
    </row>
    <row r="137" spans="1:21">
      <c r="A137" s="54"/>
      <c r="B137" s="43" t="s">
        <v>65</v>
      </c>
      <c r="C137" s="4"/>
      <c r="D137" s="4"/>
      <c r="E137" s="47"/>
      <c r="F137" s="4"/>
      <c r="G137" s="4"/>
      <c r="H137" s="47">
        <v>2</v>
      </c>
      <c r="I137" s="48" t="s">
        <v>30</v>
      </c>
      <c r="J137" s="48" t="s">
        <v>27</v>
      </c>
      <c r="K137" s="47">
        <v>1</v>
      </c>
      <c r="L137" s="48" t="s">
        <v>31</v>
      </c>
      <c r="M137" s="48" t="s">
        <v>27</v>
      </c>
      <c r="N137" s="48" t="s">
        <v>28</v>
      </c>
      <c r="O137" s="47">
        <v>300000</v>
      </c>
      <c r="P137" s="63"/>
      <c r="Q137" s="49"/>
      <c r="R137" s="49"/>
      <c r="S137" s="49">
        <f>O137*K137*H137</f>
        <v>600000</v>
      </c>
      <c r="T137" s="171">
        <f t="shared" si="17"/>
        <v>600000</v>
      </c>
      <c r="U137" s="29"/>
    </row>
    <row r="138" spans="1:21" s="73" customFormat="1" ht="13.8">
      <c r="A138" s="66"/>
      <c r="B138" s="55" t="s">
        <v>172</v>
      </c>
      <c r="C138" s="4"/>
      <c r="D138" s="4"/>
      <c r="E138" s="47"/>
      <c r="F138" s="4"/>
      <c r="G138" s="4"/>
      <c r="H138" s="47"/>
      <c r="I138" s="48"/>
      <c r="J138" s="48"/>
      <c r="K138" s="47"/>
      <c r="L138" s="48"/>
      <c r="M138" s="48"/>
      <c r="N138" s="48"/>
      <c r="O138" s="47"/>
      <c r="P138" s="70"/>
      <c r="Q138" s="49">
        <f>O138*K138*H138</f>
        <v>0</v>
      </c>
      <c r="R138" s="71"/>
      <c r="S138" s="49"/>
      <c r="T138" s="171">
        <f t="shared" si="17"/>
        <v>0</v>
      </c>
    </row>
    <row r="139" spans="1:21">
      <c r="A139" s="54"/>
      <c r="B139" s="43" t="s">
        <v>56</v>
      </c>
      <c r="C139" s="4"/>
      <c r="D139" s="4"/>
      <c r="E139" s="47"/>
      <c r="F139" s="4"/>
      <c r="G139" s="4"/>
      <c r="H139" s="47">
        <v>3</v>
      </c>
      <c r="I139" s="48" t="s">
        <v>30</v>
      </c>
      <c r="J139" s="48" t="s">
        <v>27</v>
      </c>
      <c r="K139" s="47">
        <v>1</v>
      </c>
      <c r="L139" s="48" t="s">
        <v>26</v>
      </c>
      <c r="M139" s="48" t="s">
        <v>27</v>
      </c>
      <c r="N139" s="48" t="s">
        <v>28</v>
      </c>
      <c r="O139" s="47">
        <v>5000000</v>
      </c>
      <c r="P139" s="63"/>
      <c r="Q139" s="49">
        <f>O139*K139*H139</f>
        <v>15000000</v>
      </c>
      <c r="R139" s="49"/>
      <c r="S139" s="49"/>
      <c r="T139" s="171">
        <f t="shared" si="17"/>
        <v>15000000</v>
      </c>
      <c r="U139" s="29"/>
    </row>
    <row r="140" spans="1:21">
      <c r="A140" s="54"/>
      <c r="B140" s="43" t="s">
        <v>366</v>
      </c>
      <c r="C140" s="4"/>
      <c r="D140" s="4"/>
      <c r="E140" s="47"/>
      <c r="F140" s="4"/>
      <c r="G140" s="4"/>
      <c r="H140" s="47">
        <v>3</v>
      </c>
      <c r="I140" s="48" t="s">
        <v>30</v>
      </c>
      <c r="J140" s="48" t="s">
        <v>27</v>
      </c>
      <c r="K140" s="47">
        <v>1</v>
      </c>
      <c r="L140" s="48" t="s">
        <v>26</v>
      </c>
      <c r="M140" s="48" t="s">
        <v>27</v>
      </c>
      <c r="N140" s="48" t="s">
        <v>28</v>
      </c>
      <c r="O140" s="47">
        <v>1000000</v>
      </c>
      <c r="P140" s="63"/>
      <c r="Q140" s="49">
        <f>O140*K140*H140</f>
        <v>3000000</v>
      </c>
      <c r="R140" s="49"/>
      <c r="S140" s="49"/>
      <c r="T140" s="171">
        <f t="shared" ref="T140:T142" si="22">SUM(P140:S140)</f>
        <v>3000000</v>
      </c>
      <c r="U140" s="29"/>
    </row>
    <row r="141" spans="1:21">
      <c r="A141" s="54"/>
      <c r="B141" s="43" t="s">
        <v>364</v>
      </c>
      <c r="C141" s="4"/>
      <c r="D141" s="4"/>
      <c r="E141" s="47"/>
      <c r="F141" s="4"/>
      <c r="G141" s="4"/>
      <c r="H141" s="47">
        <v>3</v>
      </c>
      <c r="I141" s="48" t="s">
        <v>30</v>
      </c>
      <c r="J141" s="48" t="s">
        <v>27</v>
      </c>
      <c r="K141" s="47">
        <v>1</v>
      </c>
      <c r="L141" s="48" t="s">
        <v>26</v>
      </c>
      <c r="M141" s="48" t="s">
        <v>27</v>
      </c>
      <c r="N141" s="48" t="s">
        <v>28</v>
      </c>
      <c r="O141" s="47">
        <f>174000+171000</f>
        <v>345000</v>
      </c>
      <c r="P141" s="63"/>
      <c r="Q141" s="49">
        <f>O141*H141</f>
        <v>1035000</v>
      </c>
      <c r="R141" s="49"/>
      <c r="S141" s="49"/>
      <c r="T141" s="171">
        <f t="shared" si="22"/>
        <v>1035000</v>
      </c>
      <c r="U141" s="29"/>
    </row>
    <row r="142" spans="1:21">
      <c r="A142" s="54"/>
      <c r="B142" s="43" t="s">
        <v>365</v>
      </c>
      <c r="C142" s="4"/>
      <c r="D142" s="4"/>
      <c r="E142" s="47"/>
      <c r="F142" s="4"/>
      <c r="G142" s="4"/>
      <c r="H142" s="47">
        <v>3</v>
      </c>
      <c r="I142" s="48" t="s">
        <v>30</v>
      </c>
      <c r="J142" s="48" t="s">
        <v>27</v>
      </c>
      <c r="K142" s="47">
        <v>1</v>
      </c>
      <c r="L142" s="48" t="s">
        <v>26</v>
      </c>
      <c r="M142" s="48" t="s">
        <v>27</v>
      </c>
      <c r="N142" s="48" t="s">
        <v>28</v>
      </c>
      <c r="O142" s="47">
        <f>174000+171000</f>
        <v>345000</v>
      </c>
      <c r="P142" s="63"/>
      <c r="Q142" s="49">
        <f>O142*H142</f>
        <v>1035000</v>
      </c>
      <c r="R142" s="49"/>
      <c r="S142" s="49"/>
      <c r="T142" s="171">
        <f t="shared" si="22"/>
        <v>1035000</v>
      </c>
      <c r="U142" s="29"/>
    </row>
    <row r="143" spans="1:21" s="73" customFormat="1" ht="13.8">
      <c r="A143" s="66"/>
      <c r="B143" s="43" t="s">
        <v>53</v>
      </c>
      <c r="C143" s="4"/>
      <c r="D143" s="4"/>
      <c r="E143" s="47"/>
      <c r="F143" s="4"/>
      <c r="G143" s="4"/>
      <c r="H143" s="47">
        <v>3</v>
      </c>
      <c r="I143" s="48" t="s">
        <v>30</v>
      </c>
      <c r="J143" s="48" t="s">
        <v>27</v>
      </c>
      <c r="K143" s="47">
        <v>8</v>
      </c>
      <c r="L143" s="48" t="s">
        <v>31</v>
      </c>
      <c r="M143" s="48" t="s">
        <v>27</v>
      </c>
      <c r="N143" s="48" t="s">
        <v>28</v>
      </c>
      <c r="O143" s="47">
        <v>380000</v>
      </c>
      <c r="P143" s="70"/>
      <c r="Q143" s="49">
        <f t="shared" ref="Q143:Q144" si="23">O143*K143*H143</f>
        <v>9120000</v>
      </c>
      <c r="R143" s="71"/>
      <c r="S143" s="49"/>
      <c r="T143" s="171">
        <f t="shared" si="17"/>
        <v>9120000</v>
      </c>
    </row>
    <row r="144" spans="1:21" s="73" customFormat="1" ht="13.8">
      <c r="A144" s="66"/>
      <c r="B144" s="43" t="s">
        <v>260</v>
      </c>
      <c r="C144" s="4"/>
      <c r="D144" s="4"/>
      <c r="E144" s="47"/>
      <c r="F144" s="4"/>
      <c r="G144" s="4"/>
      <c r="H144" s="47">
        <v>3</v>
      </c>
      <c r="I144" s="48" t="s">
        <v>30</v>
      </c>
      <c r="J144" s="48" t="s">
        <v>27</v>
      </c>
      <c r="K144" s="47">
        <v>7</v>
      </c>
      <c r="L144" s="48" t="s">
        <v>31</v>
      </c>
      <c r="M144" s="48" t="s">
        <v>27</v>
      </c>
      <c r="N144" s="48" t="s">
        <v>28</v>
      </c>
      <c r="O144" s="47">
        <v>400000</v>
      </c>
      <c r="P144" s="70"/>
      <c r="Q144" s="49">
        <f t="shared" si="23"/>
        <v>8400000</v>
      </c>
      <c r="R144" s="71"/>
      <c r="S144" s="49"/>
      <c r="T144" s="171">
        <f t="shared" si="17"/>
        <v>8400000</v>
      </c>
    </row>
    <row r="145" spans="1:21">
      <c r="A145" s="54"/>
      <c r="B145" s="4"/>
      <c r="C145" s="4"/>
      <c r="D145" s="4"/>
      <c r="E145" s="47"/>
      <c r="F145" s="4"/>
      <c r="G145" s="4"/>
      <c r="H145" s="47"/>
      <c r="I145" s="48"/>
      <c r="J145" s="48"/>
      <c r="K145" s="47"/>
      <c r="L145" s="48"/>
      <c r="M145" s="48"/>
      <c r="N145" s="48"/>
      <c r="O145" s="47"/>
      <c r="P145" s="63"/>
      <c r="Q145" s="49"/>
      <c r="R145" s="63"/>
      <c r="S145" s="49"/>
      <c r="T145" s="171">
        <f t="shared" si="17"/>
        <v>0</v>
      </c>
      <c r="U145" s="29"/>
    </row>
    <row r="146" spans="1:21" ht="14.4">
      <c r="A146" s="54"/>
      <c r="B146" s="4" t="s">
        <v>261</v>
      </c>
      <c r="C146" s="83">
        <v>1</v>
      </c>
      <c r="D146" s="316" t="s">
        <v>329</v>
      </c>
      <c r="E146" s="47"/>
      <c r="F146" s="316"/>
      <c r="G146" s="4"/>
      <c r="H146" s="47"/>
      <c r="I146" s="316" t="s">
        <v>338</v>
      </c>
      <c r="J146" s="48"/>
      <c r="K146" s="47"/>
      <c r="L146" s="48"/>
      <c r="M146" s="48"/>
      <c r="N146" s="48"/>
      <c r="O146" s="47"/>
      <c r="P146" s="63"/>
      <c r="Q146" s="49"/>
      <c r="R146" s="63"/>
      <c r="S146" s="49"/>
      <c r="T146" s="171">
        <f t="shared" si="17"/>
        <v>0</v>
      </c>
      <c r="U146" s="29"/>
    </row>
    <row r="147" spans="1:21" ht="14.4">
      <c r="A147" s="54"/>
      <c r="B147" s="4"/>
      <c r="C147" s="83">
        <v>2</v>
      </c>
      <c r="D147" s="316" t="s">
        <v>339</v>
      </c>
      <c r="E147" s="47"/>
      <c r="F147" s="316"/>
      <c r="G147" s="4"/>
      <c r="H147" s="47"/>
      <c r="I147" s="316" t="s">
        <v>340</v>
      </c>
      <c r="J147" s="48"/>
      <c r="K147" s="47"/>
      <c r="L147" s="48"/>
      <c r="M147" s="48"/>
      <c r="N147" s="48"/>
      <c r="O147" s="47"/>
      <c r="P147" s="63"/>
      <c r="Q147" s="49"/>
      <c r="R147" s="63"/>
      <c r="S147" s="49"/>
      <c r="T147" s="171">
        <f t="shared" si="17"/>
        <v>0</v>
      </c>
      <c r="U147" s="29"/>
    </row>
    <row r="148" spans="1:21" ht="14.4">
      <c r="A148" s="54"/>
      <c r="B148" s="4"/>
      <c r="C148" s="83">
        <v>3</v>
      </c>
      <c r="D148" s="316" t="s">
        <v>341</v>
      </c>
      <c r="E148" s="47"/>
      <c r="F148" s="316"/>
      <c r="G148" s="4"/>
      <c r="H148" s="47"/>
      <c r="I148" s="316" t="s">
        <v>342</v>
      </c>
      <c r="J148" s="48"/>
      <c r="K148" s="47"/>
      <c r="L148" s="48"/>
      <c r="M148" s="48"/>
      <c r="N148" s="48"/>
      <c r="O148" s="47"/>
      <c r="P148" s="63"/>
      <c r="Q148" s="49"/>
      <c r="R148" s="63"/>
      <c r="S148" s="49"/>
      <c r="T148" s="171">
        <f t="shared" si="17"/>
        <v>0</v>
      </c>
      <c r="U148" s="29"/>
    </row>
    <row r="149" spans="1:21" ht="14.4">
      <c r="A149" s="54"/>
      <c r="B149" s="4"/>
      <c r="C149" s="83">
        <v>4</v>
      </c>
      <c r="D149" s="316" t="s">
        <v>343</v>
      </c>
      <c r="E149" s="47"/>
      <c r="F149" s="316"/>
      <c r="G149" s="4"/>
      <c r="H149" s="47"/>
      <c r="I149" s="316" t="s">
        <v>342</v>
      </c>
      <c r="J149" s="48"/>
      <c r="K149" s="47"/>
      <c r="L149" s="48"/>
      <c r="M149" s="48"/>
      <c r="N149" s="48"/>
      <c r="O149" s="47"/>
      <c r="P149" s="63"/>
      <c r="Q149" s="49"/>
      <c r="R149" s="63"/>
      <c r="S149" s="49"/>
      <c r="T149" s="171">
        <f t="shared" si="17"/>
        <v>0</v>
      </c>
      <c r="U149" s="29"/>
    </row>
    <row r="150" spans="1:21" ht="14.4">
      <c r="A150" s="54"/>
      <c r="B150" s="4"/>
      <c r="C150" s="83">
        <v>5</v>
      </c>
      <c r="D150" s="316" t="s">
        <v>344</v>
      </c>
      <c r="E150" s="47"/>
      <c r="F150" s="316"/>
      <c r="G150" s="4"/>
      <c r="H150" s="47"/>
      <c r="I150" s="316" t="s">
        <v>342</v>
      </c>
      <c r="J150" s="48"/>
      <c r="K150" s="47"/>
      <c r="L150" s="48"/>
      <c r="M150" s="48"/>
      <c r="N150" s="48"/>
      <c r="O150" s="47"/>
      <c r="P150" s="63"/>
      <c r="Q150" s="49"/>
      <c r="R150" s="63"/>
      <c r="S150" s="49"/>
      <c r="T150" s="171">
        <f t="shared" si="17"/>
        <v>0</v>
      </c>
      <c r="U150" s="29"/>
    </row>
    <row r="151" spans="1:21" ht="14.4">
      <c r="A151" s="54"/>
      <c r="B151" s="4"/>
      <c r="C151" s="83">
        <v>6</v>
      </c>
      <c r="D151" s="316" t="s">
        <v>329</v>
      </c>
      <c r="E151" s="47"/>
      <c r="F151" s="316"/>
      <c r="G151" s="4"/>
      <c r="H151" s="47"/>
      <c r="I151" s="316" t="s">
        <v>342</v>
      </c>
      <c r="J151" s="48"/>
      <c r="K151" s="47"/>
      <c r="L151" s="48"/>
      <c r="M151" s="48"/>
      <c r="N151" s="48"/>
      <c r="O151" s="47"/>
      <c r="P151" s="63"/>
      <c r="Q151" s="49"/>
      <c r="R151" s="63"/>
      <c r="S151" s="49"/>
      <c r="T151" s="171">
        <f t="shared" si="17"/>
        <v>0</v>
      </c>
      <c r="U151" s="29"/>
    </row>
    <row r="152" spans="1:21" ht="14.4">
      <c r="A152" s="54"/>
      <c r="B152" s="4"/>
      <c r="C152" s="83">
        <v>7</v>
      </c>
      <c r="D152" s="316" t="s">
        <v>345</v>
      </c>
      <c r="E152" s="47"/>
      <c r="F152" s="316"/>
      <c r="G152" s="4"/>
      <c r="H152" s="47"/>
      <c r="I152" s="316" t="s">
        <v>346</v>
      </c>
      <c r="J152" s="48"/>
      <c r="K152" s="47"/>
      <c r="L152" s="48"/>
      <c r="M152" s="48"/>
      <c r="N152" s="48"/>
      <c r="O152" s="47"/>
      <c r="P152" s="63"/>
      <c r="Q152" s="49"/>
      <c r="R152" s="63"/>
      <c r="S152" s="49"/>
      <c r="T152" s="171">
        <f t="shared" si="17"/>
        <v>0</v>
      </c>
      <c r="U152" s="29"/>
    </row>
    <row r="153" spans="1:21" ht="14.4">
      <c r="A153" s="54"/>
      <c r="B153" s="4"/>
      <c r="C153" s="83">
        <v>8</v>
      </c>
      <c r="D153" s="316" t="s">
        <v>347</v>
      </c>
      <c r="E153" s="47"/>
      <c r="F153" s="316"/>
      <c r="G153" s="4"/>
      <c r="H153" s="47"/>
      <c r="I153" s="316" t="s">
        <v>348</v>
      </c>
      <c r="J153" s="48"/>
      <c r="K153" s="47"/>
      <c r="L153" s="48"/>
      <c r="M153" s="48"/>
      <c r="N153" s="48"/>
      <c r="O153" s="47"/>
      <c r="P153" s="63"/>
      <c r="Q153" s="49"/>
      <c r="R153" s="63"/>
      <c r="S153" s="49"/>
      <c r="T153" s="171">
        <f t="shared" si="17"/>
        <v>0</v>
      </c>
      <c r="U153" s="29"/>
    </row>
    <row r="154" spans="1:21" ht="14.4">
      <c r="A154" s="54"/>
      <c r="B154" s="4"/>
      <c r="C154" s="83">
        <v>9</v>
      </c>
      <c r="D154" s="316" t="s">
        <v>349</v>
      </c>
      <c r="E154" s="47"/>
      <c r="F154" s="316"/>
      <c r="G154" s="4"/>
      <c r="H154" s="47"/>
      <c r="I154" s="316" t="s">
        <v>350</v>
      </c>
      <c r="J154" s="48"/>
      <c r="K154" s="47"/>
      <c r="L154" s="48"/>
      <c r="M154" s="48"/>
      <c r="N154" s="48"/>
      <c r="O154" s="47"/>
      <c r="P154" s="63"/>
      <c r="Q154" s="49"/>
      <c r="R154" s="63"/>
      <c r="S154" s="49"/>
      <c r="T154" s="171">
        <f t="shared" ref="T154:T166" si="24">SUM(P154:S154)</f>
        <v>0</v>
      </c>
      <c r="U154" s="29"/>
    </row>
    <row r="155" spans="1:21" ht="14.4">
      <c r="A155" s="54"/>
      <c r="B155" s="4"/>
      <c r="C155" s="83">
        <v>10</v>
      </c>
      <c r="D155" s="316" t="s">
        <v>329</v>
      </c>
      <c r="E155" s="47"/>
      <c r="F155" s="316"/>
      <c r="G155" s="4"/>
      <c r="H155" s="47"/>
      <c r="I155" s="316" t="s">
        <v>350</v>
      </c>
      <c r="J155" s="48"/>
      <c r="K155" s="47"/>
      <c r="L155" s="48"/>
      <c r="M155" s="48"/>
      <c r="N155" s="48"/>
      <c r="O155" s="47"/>
      <c r="P155" s="63"/>
      <c r="Q155" s="49"/>
      <c r="R155" s="63"/>
      <c r="S155" s="49"/>
      <c r="T155" s="171">
        <f t="shared" si="24"/>
        <v>0</v>
      </c>
      <c r="U155" s="29"/>
    </row>
    <row r="156" spans="1:21" ht="14.4">
      <c r="A156" s="54"/>
      <c r="B156" s="4"/>
      <c r="C156" s="83">
        <v>11</v>
      </c>
      <c r="D156" s="316" t="s">
        <v>351</v>
      </c>
      <c r="E156" s="47"/>
      <c r="F156" s="316"/>
      <c r="G156" s="4"/>
      <c r="H156" s="47"/>
      <c r="I156" s="316" t="s">
        <v>352</v>
      </c>
      <c r="J156" s="48"/>
      <c r="K156" s="47"/>
      <c r="L156" s="48"/>
      <c r="M156" s="48"/>
      <c r="N156" s="48"/>
      <c r="O156" s="47"/>
      <c r="P156" s="63"/>
      <c r="Q156" s="49"/>
      <c r="R156" s="63"/>
      <c r="S156" s="49"/>
      <c r="T156" s="171">
        <f t="shared" si="24"/>
        <v>0</v>
      </c>
      <c r="U156" s="29"/>
    </row>
    <row r="157" spans="1:21" ht="14.4">
      <c r="A157" s="54"/>
      <c r="B157" s="4"/>
      <c r="C157" s="83">
        <v>12</v>
      </c>
      <c r="D157" s="316" t="s">
        <v>353</v>
      </c>
      <c r="E157" s="47"/>
      <c r="F157" s="316"/>
      <c r="G157" s="4"/>
      <c r="H157" s="47"/>
      <c r="I157" s="316" t="s">
        <v>354</v>
      </c>
      <c r="J157" s="48"/>
      <c r="K157" s="47"/>
      <c r="L157" s="48"/>
      <c r="M157" s="48"/>
      <c r="N157" s="48"/>
      <c r="O157" s="47"/>
      <c r="P157" s="63"/>
      <c r="Q157" s="49"/>
      <c r="R157" s="63"/>
      <c r="S157" s="49"/>
      <c r="T157" s="171">
        <f t="shared" si="24"/>
        <v>0</v>
      </c>
      <c r="U157" s="29"/>
    </row>
    <row r="158" spans="1:21" ht="14.4">
      <c r="A158" s="54"/>
      <c r="B158" s="4"/>
      <c r="C158" s="83"/>
      <c r="D158" s="316"/>
      <c r="E158" s="47"/>
      <c r="F158" s="316"/>
      <c r="G158" s="4"/>
      <c r="H158" s="47"/>
      <c r="I158" s="48"/>
      <c r="J158" s="48"/>
      <c r="K158" s="47"/>
      <c r="L158" s="48"/>
      <c r="M158" s="48"/>
      <c r="N158" s="48"/>
      <c r="O158" s="47"/>
      <c r="P158" s="63"/>
      <c r="Q158" s="49"/>
      <c r="R158" s="63"/>
      <c r="S158" s="49"/>
      <c r="T158" s="171"/>
      <c r="U158" s="29"/>
    </row>
    <row r="159" spans="1:21" s="73" customFormat="1" ht="13.8">
      <c r="A159" s="66" t="s">
        <v>517</v>
      </c>
      <c r="B159" s="55" t="s">
        <v>487</v>
      </c>
      <c r="C159" s="4"/>
      <c r="D159" s="4"/>
      <c r="E159" s="47"/>
      <c r="F159" s="4"/>
      <c r="G159" s="4"/>
      <c r="H159" s="47"/>
      <c r="I159" s="48"/>
      <c r="J159" s="48"/>
      <c r="K159" s="47"/>
      <c r="L159" s="48"/>
      <c r="M159" s="48"/>
      <c r="N159" s="48"/>
      <c r="O159" s="47"/>
      <c r="P159" s="70"/>
      <c r="Q159" s="49">
        <f t="shared" ref="Q159" si="25">O159*K159*H159</f>
        <v>0</v>
      </c>
      <c r="R159" s="71"/>
      <c r="S159" s="49"/>
      <c r="T159" s="171">
        <f t="shared" si="24"/>
        <v>0</v>
      </c>
    </row>
    <row r="160" spans="1:21">
      <c r="A160" s="54"/>
      <c r="B160" s="55" t="s">
        <v>60</v>
      </c>
      <c r="C160" s="4"/>
      <c r="D160" s="4"/>
      <c r="E160" s="47"/>
      <c r="F160" s="4"/>
      <c r="G160" s="4"/>
      <c r="H160" s="59"/>
      <c r="I160" s="60"/>
      <c r="J160" s="61"/>
      <c r="K160" s="59"/>
      <c r="L160" s="60"/>
      <c r="M160" s="61"/>
      <c r="N160" s="60"/>
      <c r="O160" s="62"/>
      <c r="P160" s="63"/>
      <c r="Q160" s="49"/>
      <c r="R160" s="49"/>
      <c r="S160" s="49"/>
      <c r="T160" s="171">
        <f t="shared" si="24"/>
        <v>0</v>
      </c>
      <c r="U160" s="29"/>
    </row>
    <row r="161" spans="1:21">
      <c r="A161" s="54"/>
      <c r="B161" s="43" t="s">
        <v>62</v>
      </c>
      <c r="C161" s="56"/>
      <c r="D161" s="4"/>
      <c r="E161" s="47"/>
      <c r="F161" s="4"/>
      <c r="G161" s="4"/>
      <c r="H161" s="47"/>
      <c r="I161" s="48"/>
      <c r="J161" s="48"/>
      <c r="K161" s="47">
        <v>2</v>
      </c>
      <c r="L161" s="48" t="s">
        <v>31</v>
      </c>
      <c r="M161" s="48" t="s">
        <v>27</v>
      </c>
      <c r="N161" s="48" t="s">
        <v>28</v>
      </c>
      <c r="O161" s="47">
        <v>820000</v>
      </c>
      <c r="P161" s="63"/>
      <c r="Q161" s="49"/>
      <c r="R161" s="49">
        <f>O161*K161</f>
        <v>1640000</v>
      </c>
      <c r="S161" s="49"/>
      <c r="T161" s="171">
        <f t="shared" si="24"/>
        <v>1640000</v>
      </c>
      <c r="U161" s="29">
        <f>SUM(T161:T169)</f>
        <v>58684000</v>
      </c>
    </row>
    <row r="162" spans="1:21">
      <c r="A162" s="54"/>
      <c r="B162" s="43" t="s">
        <v>460</v>
      </c>
      <c r="C162" s="56"/>
      <c r="D162" s="4"/>
      <c r="E162" s="47"/>
      <c r="F162" s="4"/>
      <c r="G162" s="4"/>
      <c r="H162" s="47"/>
      <c r="I162" s="48"/>
      <c r="J162" s="48"/>
      <c r="K162" s="47">
        <v>2</v>
      </c>
      <c r="L162" s="48" t="s">
        <v>31</v>
      </c>
      <c r="M162" s="48" t="s">
        <v>27</v>
      </c>
      <c r="N162" s="48" t="s">
        <v>28</v>
      </c>
      <c r="O162" s="47">
        <v>7000000</v>
      </c>
      <c r="P162" s="63"/>
      <c r="Q162" s="49"/>
      <c r="R162" s="49">
        <f>O162*K162</f>
        <v>14000000</v>
      </c>
      <c r="S162" s="49"/>
      <c r="T162" s="171">
        <f t="shared" ref="T162" si="26">SUM(P162:S162)</f>
        <v>14000000</v>
      </c>
      <c r="U162" s="29">
        <f>SUM(T162:T181)</f>
        <v>59149000</v>
      </c>
    </row>
    <row r="163" spans="1:21">
      <c r="A163" s="54"/>
      <c r="B163" s="104" t="s">
        <v>64</v>
      </c>
      <c r="C163" s="4"/>
      <c r="D163" s="4"/>
      <c r="E163" s="47"/>
      <c r="F163" s="4"/>
      <c r="G163" s="4"/>
      <c r="H163" s="47"/>
      <c r="I163" s="48"/>
      <c r="J163" s="48"/>
      <c r="K163" s="47"/>
      <c r="L163" s="48"/>
      <c r="M163" s="48"/>
      <c r="N163" s="48"/>
      <c r="O163" s="57"/>
      <c r="P163" s="63"/>
      <c r="Q163" s="49"/>
      <c r="R163" s="49"/>
      <c r="S163" s="49"/>
      <c r="T163" s="171">
        <f t="shared" si="24"/>
        <v>0</v>
      </c>
      <c r="U163" s="29"/>
    </row>
    <row r="164" spans="1:21">
      <c r="A164" s="54"/>
      <c r="B164" s="43" t="s">
        <v>65</v>
      </c>
      <c r="C164" s="4"/>
      <c r="D164" s="4"/>
      <c r="E164" s="47"/>
      <c r="F164" s="4"/>
      <c r="G164" s="4"/>
      <c r="H164" s="47">
        <v>1</v>
      </c>
      <c r="I164" s="48" t="s">
        <v>30</v>
      </c>
      <c r="J164" s="48" t="s">
        <v>27</v>
      </c>
      <c r="K164" s="47">
        <v>1</v>
      </c>
      <c r="L164" s="48" t="s">
        <v>31</v>
      </c>
      <c r="M164" s="48" t="s">
        <v>27</v>
      </c>
      <c r="N164" s="48" t="s">
        <v>28</v>
      </c>
      <c r="O164" s="47">
        <v>300000</v>
      </c>
      <c r="P164" s="63"/>
      <c r="Q164" s="49"/>
      <c r="R164" s="49"/>
      <c r="S164" s="49">
        <f>O164*K164*H164</f>
        <v>300000</v>
      </c>
      <c r="T164" s="171">
        <f t="shared" si="24"/>
        <v>300000</v>
      </c>
      <c r="U164" s="29"/>
    </row>
    <row r="165" spans="1:21" s="73" customFormat="1" ht="13.8">
      <c r="A165" s="66"/>
      <c r="B165" s="55" t="s">
        <v>172</v>
      </c>
      <c r="C165" s="4"/>
      <c r="D165" s="4"/>
      <c r="E165" s="47"/>
      <c r="F165" s="4"/>
      <c r="G165" s="4"/>
      <c r="H165" s="47"/>
      <c r="I165" s="48"/>
      <c r="J165" s="48"/>
      <c r="K165" s="47"/>
      <c r="L165" s="48"/>
      <c r="M165" s="48"/>
      <c r="N165" s="48"/>
      <c r="O165" s="47"/>
      <c r="P165" s="70"/>
      <c r="Q165" s="49">
        <f>O165*K165*H165</f>
        <v>0</v>
      </c>
      <c r="R165" s="71"/>
      <c r="S165" s="49"/>
      <c r="T165" s="171">
        <f t="shared" si="24"/>
        <v>0</v>
      </c>
    </row>
    <row r="166" spans="1:21">
      <c r="A166" s="54"/>
      <c r="B166" s="43" t="s">
        <v>370</v>
      </c>
      <c r="C166" s="4"/>
      <c r="D166" s="4"/>
      <c r="E166" s="47"/>
      <c r="F166" s="4"/>
      <c r="G166" s="4"/>
      <c r="H166" s="47">
        <v>3</v>
      </c>
      <c r="I166" s="48" t="s">
        <v>30</v>
      </c>
      <c r="J166" s="48" t="s">
        <v>27</v>
      </c>
      <c r="K166" s="47">
        <v>1</v>
      </c>
      <c r="L166" s="48" t="s">
        <v>26</v>
      </c>
      <c r="M166" s="48" t="s">
        <v>27</v>
      </c>
      <c r="N166" s="48" t="s">
        <v>28</v>
      </c>
      <c r="O166" s="47">
        <v>7000000</v>
      </c>
      <c r="P166" s="63"/>
      <c r="Q166" s="49">
        <f>O166*K166*H166</f>
        <v>21000000</v>
      </c>
      <c r="R166" s="49"/>
      <c r="S166" s="49"/>
      <c r="T166" s="171">
        <f t="shared" si="24"/>
        <v>21000000</v>
      </c>
      <c r="U166" s="29"/>
    </row>
    <row r="167" spans="1:21">
      <c r="A167" s="54"/>
      <c r="B167" s="43" t="s">
        <v>259</v>
      </c>
      <c r="C167" s="4"/>
      <c r="D167" s="4"/>
      <c r="E167" s="47"/>
      <c r="F167" s="4"/>
      <c r="G167" s="4"/>
      <c r="H167" s="47">
        <v>3</v>
      </c>
      <c r="I167" s="48" t="s">
        <v>30</v>
      </c>
      <c r="J167" s="48" t="s">
        <v>27</v>
      </c>
      <c r="K167" s="47">
        <v>1</v>
      </c>
      <c r="L167" s="48" t="s">
        <v>26</v>
      </c>
      <c r="M167" s="48" t="s">
        <v>27</v>
      </c>
      <c r="N167" s="48" t="s">
        <v>28</v>
      </c>
      <c r="O167" s="47">
        <f>(174000+130000)*2</f>
        <v>608000</v>
      </c>
      <c r="P167" s="63"/>
      <c r="Q167" s="49">
        <f>O167*H167</f>
        <v>1824000</v>
      </c>
      <c r="R167" s="49"/>
      <c r="S167" s="49"/>
      <c r="T167" s="171">
        <f t="shared" ref="T167" si="27">SUM(P167:S167)</f>
        <v>1824000</v>
      </c>
      <c r="U167" s="29"/>
    </row>
    <row r="168" spans="1:21" s="73" customFormat="1" ht="13.8">
      <c r="A168" s="66"/>
      <c r="B168" s="43" t="s">
        <v>53</v>
      </c>
      <c r="C168" s="4"/>
      <c r="D168" s="4"/>
      <c r="E168" s="47"/>
      <c r="F168" s="4"/>
      <c r="G168" s="4"/>
      <c r="H168" s="47">
        <v>3</v>
      </c>
      <c r="I168" s="48" t="s">
        <v>30</v>
      </c>
      <c r="J168" s="48" t="s">
        <v>27</v>
      </c>
      <c r="K168" s="47">
        <v>8</v>
      </c>
      <c r="L168" s="48" t="s">
        <v>31</v>
      </c>
      <c r="M168" s="48" t="s">
        <v>27</v>
      </c>
      <c r="N168" s="48" t="s">
        <v>28</v>
      </c>
      <c r="O168" s="47">
        <v>480000</v>
      </c>
      <c r="P168" s="70"/>
      <c r="Q168" s="49">
        <f t="shared" ref="Q168:Q169" si="28">O168*K168*H168</f>
        <v>11520000</v>
      </c>
      <c r="R168" s="71"/>
      <c r="S168" s="49"/>
      <c r="T168" s="171">
        <f t="shared" ref="T168:T169" si="29">SUM(P168:S168)</f>
        <v>11520000</v>
      </c>
    </row>
    <row r="169" spans="1:21" s="73" customFormat="1" ht="13.8">
      <c r="A169" s="66"/>
      <c r="B169" s="43" t="s">
        <v>173</v>
      </c>
      <c r="C169" s="4"/>
      <c r="D169" s="4"/>
      <c r="E169" s="47"/>
      <c r="F169" s="4" t="s">
        <v>292</v>
      </c>
      <c r="G169" s="4"/>
      <c r="H169" s="47">
        <v>3</v>
      </c>
      <c r="I169" s="48" t="s">
        <v>30</v>
      </c>
      <c r="J169" s="48" t="s">
        <v>27</v>
      </c>
      <c r="K169" s="47">
        <v>7</v>
      </c>
      <c r="L169" s="48" t="s">
        <v>31</v>
      </c>
      <c r="M169" s="48" t="s">
        <v>27</v>
      </c>
      <c r="N169" s="48" t="s">
        <v>28</v>
      </c>
      <c r="O169" s="47">
        <v>400000</v>
      </c>
      <c r="P169" s="70"/>
      <c r="Q169" s="49">
        <f t="shared" si="28"/>
        <v>8400000</v>
      </c>
      <c r="R169" s="71"/>
      <c r="S169" s="49"/>
      <c r="T169" s="171">
        <f t="shared" si="29"/>
        <v>8400000</v>
      </c>
    </row>
    <row r="170" spans="1:21" s="73" customFormat="1" ht="13.8">
      <c r="A170" s="66"/>
      <c r="B170" s="43"/>
      <c r="C170" s="4"/>
      <c r="D170" s="4"/>
      <c r="E170" s="47"/>
      <c r="F170" s="4"/>
      <c r="G170" s="4"/>
      <c r="H170" s="47"/>
      <c r="I170" s="48"/>
      <c r="J170" s="48"/>
      <c r="K170" s="47"/>
      <c r="L170" s="48"/>
      <c r="M170" s="48"/>
      <c r="N170" s="48"/>
      <c r="O170" s="47"/>
      <c r="P170" s="70"/>
      <c r="Q170" s="49"/>
      <c r="R170" s="71"/>
      <c r="S170" s="49"/>
      <c r="T170" s="171"/>
    </row>
    <row r="171" spans="1:21">
      <c r="A171" s="54">
        <v>3</v>
      </c>
      <c r="B171" s="55" t="s">
        <v>32</v>
      </c>
      <c r="C171" s="4"/>
      <c r="D171" s="4"/>
      <c r="E171" s="47"/>
      <c r="F171" s="4"/>
      <c r="G171" s="4"/>
      <c r="H171" s="47"/>
      <c r="I171" s="48"/>
      <c r="J171" s="48"/>
      <c r="K171" s="47">
        <v>1</v>
      </c>
      <c r="L171" s="48" t="s">
        <v>26</v>
      </c>
      <c r="M171" s="48" t="s">
        <v>27</v>
      </c>
      <c r="N171" s="48" t="s">
        <v>28</v>
      </c>
      <c r="O171" s="47">
        <f>SUM(O174:O179)</f>
        <v>905000</v>
      </c>
      <c r="P171" s="49">
        <f>O171*K171</f>
        <v>905000</v>
      </c>
      <c r="Q171" s="49"/>
      <c r="R171" s="49"/>
      <c r="S171" s="49"/>
      <c r="T171" s="171">
        <f>SUM(P171:S171)</f>
        <v>905000</v>
      </c>
      <c r="U171" s="29"/>
    </row>
    <row r="172" spans="1:21">
      <c r="A172" s="54"/>
      <c r="B172" s="55" t="s">
        <v>42</v>
      </c>
      <c r="C172" s="56"/>
      <c r="D172" s="4"/>
      <c r="E172" s="47"/>
      <c r="F172" s="4"/>
      <c r="G172" s="4"/>
      <c r="H172" s="47"/>
      <c r="I172" s="48"/>
      <c r="J172" s="48"/>
      <c r="K172" s="47"/>
      <c r="L172" s="48"/>
      <c r="M172" s="48"/>
      <c r="N172" s="48"/>
      <c r="O172" s="57"/>
      <c r="P172" s="49"/>
      <c r="Q172" s="49"/>
      <c r="R172" s="49"/>
      <c r="S172" s="49"/>
      <c r="T172" s="171"/>
      <c r="U172" s="29"/>
    </row>
    <row r="173" spans="1:21">
      <c r="A173" s="54"/>
      <c r="B173" s="43" t="s">
        <v>505</v>
      </c>
      <c r="C173" s="56"/>
      <c r="D173" s="4"/>
      <c r="E173" s="47"/>
      <c r="F173" s="4"/>
      <c r="G173" s="4"/>
      <c r="H173" s="47"/>
      <c r="I173" s="48"/>
      <c r="J173" s="48"/>
      <c r="K173" s="47"/>
      <c r="L173" s="48"/>
      <c r="M173" s="48"/>
      <c r="N173" s="48"/>
      <c r="O173" s="47"/>
      <c r="P173" s="49"/>
      <c r="Q173" s="49"/>
      <c r="R173" s="49"/>
      <c r="S173" s="49"/>
      <c r="T173" s="171"/>
      <c r="U173" s="29"/>
    </row>
    <row r="174" spans="1:21">
      <c r="A174" s="54"/>
      <c r="B174" s="384" t="s">
        <v>245</v>
      </c>
      <c r="C174" s="47">
        <v>3</v>
      </c>
      <c r="D174" s="48" t="s">
        <v>246</v>
      </c>
      <c r="E174" s="48" t="s">
        <v>27</v>
      </c>
      <c r="F174" s="47">
        <v>65000</v>
      </c>
      <c r="G174" s="4"/>
      <c r="H174" s="47"/>
      <c r="I174" s="48"/>
      <c r="J174" s="48"/>
      <c r="K174" s="47"/>
      <c r="L174" s="48"/>
      <c r="M174" s="48"/>
      <c r="N174" s="48"/>
      <c r="O174" s="47">
        <f t="shared" ref="O174:O179" si="30">F174*C174</f>
        <v>195000</v>
      </c>
      <c r="P174" s="49"/>
      <c r="Q174" s="49"/>
      <c r="R174" s="49"/>
      <c r="S174" s="49"/>
      <c r="T174" s="171"/>
      <c r="U174" s="29"/>
    </row>
    <row r="175" spans="1:21">
      <c r="A175" s="54"/>
      <c r="B175" s="384" t="s">
        <v>247</v>
      </c>
      <c r="C175" s="47">
        <v>1</v>
      </c>
      <c r="D175" s="48" t="s">
        <v>246</v>
      </c>
      <c r="E175" s="48" t="s">
        <v>27</v>
      </c>
      <c r="F175" s="47">
        <v>65000</v>
      </c>
      <c r="G175" s="4"/>
      <c r="H175" s="47"/>
      <c r="I175" s="48"/>
      <c r="J175" s="48"/>
      <c r="K175" s="47"/>
      <c r="L175" s="48"/>
      <c r="M175" s="48"/>
      <c r="N175" s="48"/>
      <c r="O175" s="47">
        <f t="shared" si="30"/>
        <v>65000</v>
      </c>
      <c r="P175" s="49"/>
      <c r="Q175" s="49"/>
      <c r="R175" s="49"/>
      <c r="S175" s="49"/>
      <c r="T175" s="171"/>
      <c r="U175" s="29"/>
    </row>
    <row r="176" spans="1:21">
      <c r="A176" s="54"/>
      <c r="B176" s="384" t="s">
        <v>248</v>
      </c>
      <c r="C176" s="47">
        <v>1</v>
      </c>
      <c r="D176" s="48" t="s">
        <v>246</v>
      </c>
      <c r="E176" s="48" t="s">
        <v>27</v>
      </c>
      <c r="F176" s="47">
        <v>65000</v>
      </c>
      <c r="G176" s="4"/>
      <c r="H176" s="47"/>
      <c r="I176" s="48"/>
      <c r="J176" s="48"/>
      <c r="K176" s="47"/>
      <c r="L176" s="48"/>
      <c r="M176" s="48"/>
      <c r="N176" s="48"/>
      <c r="O176" s="47">
        <f t="shared" si="30"/>
        <v>65000</v>
      </c>
      <c r="P176" s="49"/>
      <c r="Q176" s="49"/>
      <c r="R176" s="49"/>
      <c r="S176" s="49"/>
      <c r="T176" s="171"/>
      <c r="U176" s="29"/>
    </row>
    <row r="177" spans="1:24">
      <c r="A177" s="54"/>
      <c r="B177" s="384" t="s">
        <v>249</v>
      </c>
      <c r="C177" s="47">
        <v>6</v>
      </c>
      <c r="D177" s="48" t="s">
        <v>250</v>
      </c>
      <c r="E177" s="48" t="s">
        <v>27</v>
      </c>
      <c r="F177" s="47">
        <v>30000</v>
      </c>
      <c r="G177" s="4"/>
      <c r="H177" s="47"/>
      <c r="I177" s="48"/>
      <c r="J177" s="48"/>
      <c r="K177" s="47"/>
      <c r="L177" s="48"/>
      <c r="M177" s="48"/>
      <c r="N177" s="48"/>
      <c r="O177" s="47">
        <f t="shared" si="30"/>
        <v>180000</v>
      </c>
      <c r="P177" s="49"/>
      <c r="Q177" s="49"/>
      <c r="R177" s="49"/>
      <c r="S177" s="49"/>
      <c r="T177" s="171"/>
      <c r="U177" s="29"/>
    </row>
    <row r="178" spans="1:24">
      <c r="A178" s="54"/>
      <c r="B178" s="384" t="s">
        <v>251</v>
      </c>
      <c r="C178" s="47">
        <v>1</v>
      </c>
      <c r="D178" s="48" t="s">
        <v>252</v>
      </c>
      <c r="E178" s="48" t="s">
        <v>27</v>
      </c>
      <c r="F178" s="47">
        <v>100000</v>
      </c>
      <c r="G178" s="4"/>
      <c r="H178" s="47"/>
      <c r="I178" s="48"/>
      <c r="J178" s="48"/>
      <c r="K178" s="47"/>
      <c r="L178" s="48"/>
      <c r="M178" s="48"/>
      <c r="N178" s="48"/>
      <c r="O178" s="47">
        <f t="shared" si="30"/>
        <v>100000</v>
      </c>
      <c r="P178" s="49"/>
      <c r="Q178" s="49"/>
      <c r="R178" s="49"/>
      <c r="S178" s="49"/>
      <c r="T178" s="171"/>
      <c r="U178" s="29"/>
    </row>
    <row r="179" spans="1:24">
      <c r="A179" s="54"/>
      <c r="B179" s="384" t="s">
        <v>253</v>
      </c>
      <c r="C179" s="47">
        <v>3</v>
      </c>
      <c r="D179" s="48" t="s">
        <v>252</v>
      </c>
      <c r="E179" s="48" t="s">
        <v>27</v>
      </c>
      <c r="F179" s="47">
        <v>100000</v>
      </c>
      <c r="G179" s="4"/>
      <c r="H179" s="47"/>
      <c r="I179" s="48"/>
      <c r="J179" s="48"/>
      <c r="K179" s="47"/>
      <c r="L179" s="48"/>
      <c r="M179" s="48"/>
      <c r="N179" s="48"/>
      <c r="O179" s="47">
        <f t="shared" si="30"/>
        <v>300000</v>
      </c>
      <c r="P179" s="49"/>
      <c r="Q179" s="49"/>
      <c r="R179" s="49"/>
      <c r="S179" s="49"/>
      <c r="T179" s="171"/>
      <c r="U179" s="29"/>
    </row>
    <row r="180" spans="1:24">
      <c r="A180" s="54"/>
      <c r="B180" s="43" t="s">
        <v>506</v>
      </c>
      <c r="C180" s="47"/>
      <c r="D180" s="48"/>
      <c r="E180" s="48"/>
      <c r="F180" s="47"/>
      <c r="G180" s="4"/>
      <c r="H180" s="47">
        <v>4</v>
      </c>
      <c r="I180" s="48" t="s">
        <v>30</v>
      </c>
      <c r="J180" s="48" t="s">
        <v>27</v>
      </c>
      <c r="K180" s="47">
        <v>6</v>
      </c>
      <c r="L180" s="48" t="s">
        <v>26</v>
      </c>
      <c r="M180" s="48" t="s">
        <v>27</v>
      </c>
      <c r="N180" s="48" t="s">
        <v>28</v>
      </c>
      <c r="O180" s="47">
        <v>50000</v>
      </c>
      <c r="P180" s="49">
        <f>O180*K180*H180</f>
        <v>1200000</v>
      </c>
      <c r="Q180" s="49"/>
      <c r="R180" s="49"/>
      <c r="S180" s="49"/>
      <c r="T180" s="171">
        <f t="shared" ref="T180" si="31">SUM(P180:S180)</f>
        <v>1200000</v>
      </c>
      <c r="U180" s="29"/>
    </row>
    <row r="181" spans="1:24">
      <c r="A181" s="54"/>
      <c r="B181" s="43"/>
      <c r="C181" s="4"/>
      <c r="D181" s="4"/>
      <c r="E181" s="47"/>
      <c r="F181" s="4"/>
      <c r="G181" s="4"/>
      <c r="H181" s="47"/>
      <c r="I181" s="48"/>
      <c r="J181" s="48"/>
      <c r="K181" s="47"/>
      <c r="L181" s="48"/>
      <c r="M181" s="48"/>
      <c r="N181" s="48"/>
      <c r="O181" s="47"/>
      <c r="P181" s="63"/>
      <c r="Q181" s="49"/>
      <c r="R181" s="49"/>
      <c r="S181" s="58"/>
      <c r="T181" s="49">
        <f>SUM(P181:R181)</f>
        <v>0</v>
      </c>
      <c r="U181" s="41"/>
    </row>
    <row r="182" spans="1:24" s="87" customFormat="1" ht="13.8" thickBot="1">
      <c r="A182" s="84"/>
      <c r="B182" s="484" t="s">
        <v>33</v>
      </c>
      <c r="C182" s="485"/>
      <c r="D182" s="485"/>
      <c r="E182" s="485"/>
      <c r="F182" s="485"/>
      <c r="G182" s="485"/>
      <c r="H182" s="485"/>
      <c r="I182" s="485"/>
      <c r="J182" s="485"/>
      <c r="K182" s="485"/>
      <c r="L182" s="485"/>
      <c r="M182" s="485"/>
      <c r="N182" s="485"/>
      <c r="O182" s="504"/>
      <c r="P182" s="85">
        <f>SUM(P19:P181)</f>
        <v>3365000</v>
      </c>
      <c r="Q182" s="85">
        <f>SUM(Q18:Q181)</f>
        <v>276364000</v>
      </c>
      <c r="R182" s="85">
        <f>SUM(R18:R181)</f>
        <v>24200000</v>
      </c>
      <c r="S182" s="85">
        <f>SUM(S18:S181)</f>
        <v>2700000</v>
      </c>
      <c r="T182" s="85">
        <f>SUM(T19:T181)</f>
        <v>306629000</v>
      </c>
      <c r="U182" s="86"/>
    </row>
    <row r="183" spans="1:24" s="15" customFormat="1" ht="14.4" thickTop="1">
      <c r="B183" s="12"/>
      <c r="F183" s="90"/>
      <c r="H183" s="90"/>
      <c r="I183" s="90"/>
      <c r="K183" s="90"/>
      <c r="L183" s="90"/>
      <c r="M183" s="90"/>
      <c r="O183" s="20"/>
      <c r="P183" s="20"/>
      <c r="Q183" s="20"/>
      <c r="R183" s="12"/>
      <c r="S183" s="12"/>
      <c r="T183" s="12"/>
      <c r="U183" s="12"/>
      <c r="X183" s="14"/>
    </row>
    <row r="184" spans="1:24" s="15" customFormat="1" ht="13.8">
      <c r="B184" s="12"/>
      <c r="F184" s="90"/>
      <c r="H184" s="90"/>
      <c r="I184" s="90"/>
      <c r="K184" s="90"/>
      <c r="L184" s="90"/>
      <c r="M184" s="90"/>
      <c r="O184" s="20"/>
      <c r="P184" s="20"/>
      <c r="Q184" s="20"/>
      <c r="R184" s="20" t="s">
        <v>633</v>
      </c>
      <c r="S184" s="12"/>
      <c r="T184" s="12"/>
      <c r="U184" s="12"/>
      <c r="X184" s="14"/>
    </row>
    <row r="185" spans="1:24" s="15" customFormat="1" ht="13.8">
      <c r="B185" s="12"/>
      <c r="F185" s="90"/>
      <c r="H185" s="90"/>
      <c r="I185" s="90"/>
      <c r="K185" s="90"/>
      <c r="L185" s="90"/>
      <c r="M185" s="90"/>
      <c r="O185" s="20"/>
      <c r="P185" s="20"/>
      <c r="Q185" s="20"/>
      <c r="R185" s="20" t="s">
        <v>176</v>
      </c>
      <c r="S185" s="12"/>
      <c r="T185" s="12"/>
      <c r="U185" s="12"/>
      <c r="X185" s="14"/>
    </row>
    <row r="186" spans="1:24" s="15" customFormat="1" ht="13.8">
      <c r="B186" s="12"/>
      <c r="F186" s="90"/>
      <c r="H186" s="90"/>
      <c r="I186" s="90"/>
      <c r="K186" s="90"/>
      <c r="L186" s="90"/>
      <c r="M186" s="90"/>
      <c r="O186" s="20"/>
      <c r="P186" s="20"/>
      <c r="Q186" s="20"/>
      <c r="R186" s="20" t="s">
        <v>177</v>
      </c>
      <c r="S186" s="12"/>
      <c r="T186" s="12"/>
      <c r="U186" s="12"/>
      <c r="X186" s="14"/>
    </row>
    <row r="187" spans="1:24" s="15" customFormat="1" ht="13.8">
      <c r="B187" s="12"/>
      <c r="F187" s="90"/>
      <c r="H187" s="90"/>
      <c r="I187" s="90"/>
      <c r="K187" s="90"/>
      <c r="L187" s="90"/>
      <c r="M187" s="90"/>
      <c r="O187" s="20"/>
      <c r="P187" s="20"/>
      <c r="Q187" s="20"/>
      <c r="R187" s="20"/>
      <c r="S187" s="12"/>
      <c r="T187" s="12"/>
      <c r="U187" s="12"/>
      <c r="X187" s="14"/>
    </row>
    <row r="188" spans="1:24" s="15" customFormat="1" ht="13.8">
      <c r="B188" s="12"/>
      <c r="F188" s="90"/>
      <c r="H188" s="90"/>
      <c r="I188" s="90"/>
      <c r="K188" s="90"/>
      <c r="L188" s="90"/>
      <c r="M188" s="90"/>
      <c r="O188" s="20"/>
      <c r="P188" s="20"/>
      <c r="Q188" s="20"/>
      <c r="R188" s="20"/>
      <c r="S188" s="12"/>
      <c r="T188" s="12"/>
      <c r="U188" s="12"/>
      <c r="X188" s="14"/>
    </row>
    <row r="189" spans="1:24" s="15" customFormat="1" ht="13.8">
      <c r="B189" s="12"/>
      <c r="F189" s="90"/>
      <c r="H189" s="90"/>
      <c r="I189" s="90"/>
      <c r="K189" s="90"/>
      <c r="L189" s="90"/>
      <c r="M189" s="90"/>
      <c r="O189" s="20"/>
      <c r="P189" s="20"/>
      <c r="Q189" s="20"/>
      <c r="R189" s="20"/>
      <c r="S189" s="12"/>
      <c r="T189" s="12"/>
      <c r="U189" s="12"/>
      <c r="X189" s="14"/>
    </row>
    <row r="190" spans="1:24" s="15" customFormat="1" ht="13.8">
      <c r="B190" s="12"/>
      <c r="F190" s="90"/>
      <c r="H190" s="90"/>
      <c r="I190" s="90"/>
      <c r="K190" s="90"/>
      <c r="L190" s="90"/>
      <c r="M190" s="90"/>
      <c r="O190" s="20"/>
      <c r="P190" s="20"/>
      <c r="Q190" s="20"/>
      <c r="R190" s="20" t="s">
        <v>187</v>
      </c>
      <c r="S190" s="12"/>
      <c r="T190" s="12"/>
      <c r="U190" s="12"/>
      <c r="X190" s="14"/>
    </row>
    <row r="191" spans="1:24">
      <c r="A191" s="88"/>
      <c r="R191" s="20" t="s">
        <v>174</v>
      </c>
    </row>
    <row r="192" spans="1:24" s="15" customFormat="1" ht="13.8">
      <c r="B192" s="12"/>
      <c r="F192" s="90"/>
      <c r="H192" s="90"/>
      <c r="I192" s="90"/>
      <c r="K192" s="90"/>
      <c r="L192" s="90"/>
      <c r="M192" s="90"/>
      <c r="O192" s="20"/>
      <c r="P192" s="20"/>
      <c r="Q192" s="12"/>
      <c r="R192" s="12"/>
      <c r="S192" s="20"/>
      <c r="U192" s="14"/>
    </row>
    <row r="193" spans="2:21" s="15" customFormat="1" ht="13.8">
      <c r="B193" s="12"/>
      <c r="F193" s="90"/>
      <c r="H193" s="90"/>
      <c r="I193" s="90"/>
      <c r="K193" s="90"/>
      <c r="L193" s="90"/>
      <c r="M193" s="90"/>
      <c r="O193" s="20"/>
      <c r="P193" s="20"/>
      <c r="Q193" s="12"/>
      <c r="R193" s="12"/>
      <c r="S193" s="20"/>
      <c r="U193" s="14"/>
    </row>
    <row r="194" spans="2:21" s="15" customFormat="1" ht="13.8">
      <c r="B194" s="12"/>
      <c r="F194" s="90"/>
      <c r="H194" s="90"/>
      <c r="I194" s="90"/>
      <c r="K194" s="90"/>
      <c r="L194" s="90"/>
      <c r="M194" s="90"/>
      <c r="O194" s="20"/>
      <c r="P194" s="20"/>
      <c r="Q194" s="12"/>
      <c r="R194" s="12"/>
      <c r="S194" s="20"/>
      <c r="U194" s="14"/>
    </row>
    <row r="195" spans="2:21" s="15" customFormat="1" ht="13.8">
      <c r="B195" s="12"/>
      <c r="F195" s="90"/>
      <c r="H195" s="90"/>
      <c r="I195" s="90"/>
      <c r="K195" s="90"/>
      <c r="L195" s="90"/>
      <c r="M195" s="90"/>
      <c r="O195" s="20"/>
      <c r="P195" s="20"/>
      <c r="Q195" s="12"/>
      <c r="R195" s="12"/>
      <c r="S195" s="20"/>
      <c r="U195" s="14"/>
    </row>
    <row r="196" spans="2:21" s="15" customFormat="1" ht="13.8">
      <c r="B196" s="12"/>
      <c r="F196" s="90"/>
      <c r="H196" s="90"/>
      <c r="I196" s="90"/>
      <c r="K196" s="90"/>
      <c r="L196" s="90"/>
      <c r="M196" s="90"/>
      <c r="O196" s="20"/>
      <c r="P196" s="20"/>
      <c r="Q196" s="12"/>
      <c r="R196" s="12"/>
      <c r="S196" s="20"/>
      <c r="U196" s="14"/>
    </row>
    <row r="197" spans="2:21" s="15" customFormat="1" ht="13.8">
      <c r="B197" s="12"/>
      <c r="F197" s="90"/>
      <c r="H197" s="90"/>
      <c r="I197" s="90"/>
      <c r="K197" s="90"/>
      <c r="L197" s="90"/>
      <c r="M197" s="90"/>
      <c r="O197" s="20"/>
      <c r="P197" s="20"/>
      <c r="Q197" s="12"/>
      <c r="R197" s="12"/>
      <c r="S197" s="20"/>
      <c r="U197" s="14"/>
    </row>
    <row r="198" spans="2:21" s="15" customFormat="1" ht="13.8">
      <c r="B198" s="12"/>
      <c r="F198" s="90"/>
      <c r="H198" s="90"/>
      <c r="I198" s="90"/>
      <c r="K198" s="90"/>
      <c r="L198" s="90"/>
      <c r="M198" s="90"/>
      <c r="O198" s="20"/>
      <c r="P198" s="20"/>
      <c r="Q198" s="12"/>
      <c r="R198" s="12"/>
      <c r="S198" s="20"/>
      <c r="U198" s="14"/>
    </row>
    <row r="199" spans="2:21" s="15" customFormat="1" ht="13.8">
      <c r="B199" s="12"/>
      <c r="F199" s="90"/>
      <c r="H199" s="90"/>
      <c r="I199" s="90"/>
      <c r="K199" s="90"/>
      <c r="L199" s="90"/>
      <c r="M199" s="90"/>
      <c r="O199" s="20"/>
      <c r="P199" s="20"/>
      <c r="Q199" s="12"/>
      <c r="R199" s="12"/>
      <c r="S199" s="20"/>
      <c r="U199" s="14"/>
    </row>
    <row r="200" spans="2:21" s="15" customFormat="1">
      <c r="F200" s="90"/>
      <c r="G200" s="90"/>
      <c r="I200" s="90"/>
      <c r="J200" s="90"/>
      <c r="L200" s="90"/>
      <c r="M200" s="90"/>
      <c r="N200" s="90"/>
      <c r="P200" s="20"/>
      <c r="Q200" s="20"/>
      <c r="R200" s="20"/>
      <c r="S200" s="20"/>
      <c r="T200" s="20"/>
      <c r="U200" s="14"/>
    </row>
  </sheetData>
  <mergeCells count="10">
    <mergeCell ref="B17:O17"/>
    <mergeCell ref="B182:O182"/>
    <mergeCell ref="A1:T1"/>
    <mergeCell ref="A14:A16"/>
    <mergeCell ref="B14:O14"/>
    <mergeCell ref="P14:R14"/>
    <mergeCell ref="T14:T16"/>
    <mergeCell ref="B15:O15"/>
    <mergeCell ref="B16:O16"/>
    <mergeCell ref="E12:F12"/>
  </mergeCells>
  <printOptions horizontalCentered="1"/>
  <pageMargins left="0.45" right="0.45" top="1" bottom="0.75" header="0.3" footer="0.3"/>
  <pageSetup paperSize="9" scale="75" fitToHeight="6" orientation="landscape" horizontalDpi="4294967293" verticalDpi="4294967293" r:id="rId1"/>
  <headerFooter>
    <oddFooter>&amp;L&amp;"-,Italic"Cagar budaya yang diinventarisasi&amp;R&amp;P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V105"/>
  <sheetViews>
    <sheetView view="pageBreakPreview" topLeftCell="A82" zoomScale="75" zoomScaleSheetLayoutView="75" workbookViewId="0">
      <selection activeCell="V87" sqref="V87"/>
    </sheetView>
  </sheetViews>
  <sheetFormatPr defaultColWidth="8.88671875" defaultRowHeight="13.2"/>
  <cols>
    <col min="1" max="1" width="9" style="29" bestFit="1" customWidth="1"/>
    <col min="2" max="2" width="21.6640625" style="29" customWidth="1"/>
    <col min="3" max="3" width="3.109375" style="29" customWidth="1"/>
    <col min="4" max="4" width="9" style="29" customWidth="1"/>
    <col min="5" max="5" width="8.88671875" style="29" customWidth="1"/>
    <col min="6" max="6" width="12.5546875" style="200" bestFit="1" customWidth="1"/>
    <col min="7" max="7" width="10.5546875" style="89" bestFit="1" customWidth="1"/>
    <col min="8" max="8" width="8.88671875" style="89" customWidth="1"/>
    <col min="9" max="9" width="5.44140625" style="29" bestFit="1" customWidth="1"/>
    <col min="10" max="10" width="4.6640625" style="89" bestFit="1" customWidth="1"/>
    <col min="11" max="11" width="3" style="89" bestFit="1" customWidth="1"/>
    <col min="12" max="12" width="6.109375" style="29" bestFit="1" customWidth="1"/>
    <col min="13" max="13" width="5.44140625" style="89" bestFit="1" customWidth="1"/>
    <col min="14" max="14" width="3.33203125" style="89" bestFit="1" customWidth="1"/>
    <col min="15" max="15" width="4.5546875" style="89" bestFit="1" customWidth="1"/>
    <col min="16" max="16" width="14.33203125" style="29" bestFit="1" customWidth="1"/>
    <col min="17" max="17" width="14.5546875" style="28" hidden="1" customWidth="1"/>
    <col min="18" max="20" width="13.6640625" style="28" hidden="1" customWidth="1"/>
    <col min="21" max="21" width="15.5546875" style="28" bestFit="1" customWidth="1"/>
    <col min="22" max="22" width="14.44140625" style="34" bestFit="1" customWidth="1"/>
    <col min="23" max="24" width="8.88671875" style="29"/>
    <col min="25" max="25" width="10.5546875" style="29" bestFit="1" customWidth="1"/>
    <col min="26" max="16384" width="8.88671875" style="29"/>
  </cols>
  <sheetData>
    <row r="1" spans="1:22" s="16" customFormat="1">
      <c r="A1" s="486" t="s">
        <v>0</v>
      </c>
      <c r="B1" s="486"/>
      <c r="C1" s="486"/>
      <c r="D1" s="486"/>
      <c r="E1" s="486"/>
      <c r="F1" s="486"/>
      <c r="G1" s="486"/>
      <c r="H1" s="486"/>
      <c r="I1" s="486"/>
      <c r="J1" s="486"/>
      <c r="K1" s="486"/>
      <c r="L1" s="486"/>
      <c r="M1" s="486"/>
      <c r="N1" s="486"/>
      <c r="O1" s="486"/>
      <c r="P1" s="486"/>
      <c r="Q1" s="486"/>
      <c r="R1" s="486"/>
      <c r="S1" s="486"/>
      <c r="T1" s="486"/>
      <c r="U1" s="486"/>
      <c r="V1" s="14"/>
    </row>
    <row r="2" spans="1:22" s="16" customFormat="1">
      <c r="A2" s="296"/>
      <c r="B2" s="296"/>
      <c r="C2" s="296"/>
      <c r="D2" s="18"/>
      <c r="E2" s="296"/>
      <c r="F2" s="193"/>
      <c r="G2" s="296"/>
      <c r="H2" s="296"/>
      <c r="I2" s="296"/>
      <c r="J2" s="296"/>
      <c r="K2" s="296"/>
      <c r="L2" s="296"/>
      <c r="M2" s="296"/>
      <c r="N2" s="296"/>
      <c r="O2" s="19"/>
      <c r="P2" s="19"/>
      <c r="Q2" s="19"/>
      <c r="R2" s="19"/>
      <c r="S2" s="19"/>
      <c r="T2" s="19"/>
      <c r="U2" s="20"/>
      <c r="V2" s="14"/>
    </row>
    <row r="3" spans="1:22" s="16" customFormat="1">
      <c r="A3" s="21" t="s">
        <v>1</v>
      </c>
      <c r="B3" s="21"/>
      <c r="C3" s="22" t="s">
        <v>2</v>
      </c>
      <c r="D3" s="1" t="s">
        <v>236</v>
      </c>
      <c r="E3" s="15"/>
      <c r="F3" s="19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V3" s="78"/>
    </row>
    <row r="4" spans="1:22" s="16" customFormat="1">
      <c r="A4" s="21" t="s">
        <v>4</v>
      </c>
      <c r="B4" s="21"/>
      <c r="C4" s="22" t="s">
        <v>2</v>
      </c>
      <c r="D4" s="1" t="s">
        <v>34</v>
      </c>
      <c r="E4" s="15"/>
      <c r="F4" s="19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V4" s="78"/>
    </row>
    <row r="5" spans="1:22" s="16" customFormat="1" ht="14.4" customHeight="1">
      <c r="A5" s="21" t="s">
        <v>5</v>
      </c>
      <c r="B5" s="21"/>
      <c r="C5" s="22" t="s">
        <v>2</v>
      </c>
      <c r="D5" s="1" t="s">
        <v>37</v>
      </c>
      <c r="E5" s="1"/>
      <c r="F5" s="19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V5" s="78"/>
    </row>
    <row r="6" spans="1:22" s="16" customFormat="1">
      <c r="A6" s="21" t="s">
        <v>6</v>
      </c>
      <c r="B6" s="21"/>
      <c r="C6" s="22" t="s">
        <v>2</v>
      </c>
      <c r="D6" s="98" t="s">
        <v>189</v>
      </c>
      <c r="E6" s="15"/>
      <c r="F6" s="19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V6" s="78"/>
    </row>
    <row r="7" spans="1:22" s="16" customFormat="1">
      <c r="A7" s="21" t="s">
        <v>7</v>
      </c>
      <c r="B7" s="21"/>
      <c r="C7" s="22" t="s">
        <v>2</v>
      </c>
      <c r="D7" s="1" t="s">
        <v>35</v>
      </c>
      <c r="E7" s="15"/>
      <c r="F7" s="19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V7" s="78"/>
    </row>
    <row r="8" spans="1:22" s="16" customFormat="1">
      <c r="A8" s="21" t="s">
        <v>8</v>
      </c>
      <c r="B8" s="21"/>
      <c r="C8" s="22" t="s">
        <v>2</v>
      </c>
      <c r="D8" s="16" t="s">
        <v>206</v>
      </c>
      <c r="E8" s="1"/>
      <c r="F8" s="19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V8" s="78"/>
    </row>
    <row r="9" spans="1:22" s="16" customFormat="1">
      <c r="A9" s="21" t="s">
        <v>9</v>
      </c>
      <c r="B9" s="21"/>
      <c r="C9" s="22" t="s">
        <v>2</v>
      </c>
      <c r="D9" s="13" t="s">
        <v>208</v>
      </c>
      <c r="E9" s="13"/>
      <c r="F9" s="195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V9" s="78"/>
    </row>
    <row r="10" spans="1:22" s="16" customFormat="1">
      <c r="A10" s="21" t="s">
        <v>10</v>
      </c>
      <c r="B10" s="21"/>
      <c r="C10" s="22" t="s">
        <v>2</v>
      </c>
      <c r="D10" s="1" t="s">
        <v>207</v>
      </c>
      <c r="E10" s="15"/>
      <c r="F10" s="19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V10" s="78"/>
    </row>
    <row r="11" spans="1:22" s="16" customFormat="1">
      <c r="A11" s="21" t="s">
        <v>11</v>
      </c>
      <c r="B11" s="21"/>
      <c r="C11" s="22" t="s">
        <v>2</v>
      </c>
      <c r="D11" s="206" t="s">
        <v>561</v>
      </c>
      <c r="E11" s="15"/>
      <c r="F11" s="19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V11" s="78"/>
    </row>
    <row r="12" spans="1:22" s="16" customFormat="1">
      <c r="A12" s="22" t="s">
        <v>12</v>
      </c>
      <c r="C12" s="22" t="s">
        <v>2</v>
      </c>
      <c r="D12" s="23" t="s">
        <v>13</v>
      </c>
      <c r="E12" s="505">
        <f>U95</f>
        <v>392123000</v>
      </c>
      <c r="F12" s="505"/>
      <c r="G12" s="505"/>
      <c r="H12" s="505"/>
      <c r="I12" s="23"/>
      <c r="J12" s="22"/>
      <c r="K12" s="22"/>
      <c r="L12" s="22"/>
      <c r="M12" s="24"/>
      <c r="N12" s="22"/>
      <c r="O12" s="25"/>
      <c r="P12" s="26"/>
      <c r="Q12" s="27"/>
      <c r="R12" s="27"/>
      <c r="S12" s="27"/>
      <c r="T12" s="27"/>
      <c r="U12" s="28"/>
      <c r="V12" s="34"/>
    </row>
    <row r="13" spans="1:22" s="16" customFormat="1" ht="13.8" thickBot="1">
      <c r="A13" s="22"/>
      <c r="B13" s="30"/>
      <c r="F13" s="196"/>
      <c r="G13" s="31"/>
      <c r="H13" s="31"/>
      <c r="I13" s="31"/>
      <c r="K13" s="31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78"/>
    </row>
    <row r="14" spans="1:22" s="16" customFormat="1" ht="15.6" thickTop="1">
      <c r="A14" s="487" t="s">
        <v>14</v>
      </c>
      <c r="B14" s="490" t="s">
        <v>15</v>
      </c>
      <c r="C14" s="491"/>
      <c r="D14" s="491"/>
      <c r="E14" s="491"/>
      <c r="F14" s="491"/>
      <c r="G14" s="491"/>
      <c r="H14" s="491"/>
      <c r="I14" s="491"/>
      <c r="J14" s="491"/>
      <c r="K14" s="491"/>
      <c r="L14" s="491"/>
      <c r="M14" s="491"/>
      <c r="N14" s="491"/>
      <c r="O14" s="491"/>
      <c r="P14" s="492"/>
      <c r="Q14" s="509"/>
      <c r="R14" s="509"/>
      <c r="S14" s="509"/>
      <c r="T14" s="509"/>
      <c r="U14" s="495" t="s">
        <v>16</v>
      </c>
      <c r="V14" s="172"/>
    </row>
    <row r="15" spans="1:22" s="16" customFormat="1" ht="39.6">
      <c r="A15" s="488"/>
      <c r="B15" s="498" t="s">
        <v>17</v>
      </c>
      <c r="C15" s="499"/>
      <c r="D15" s="499"/>
      <c r="E15" s="499"/>
      <c r="F15" s="499"/>
      <c r="G15" s="499"/>
      <c r="H15" s="499"/>
      <c r="I15" s="499"/>
      <c r="J15" s="499"/>
      <c r="K15" s="499"/>
      <c r="L15" s="499"/>
      <c r="M15" s="499"/>
      <c r="N15" s="499"/>
      <c r="O15" s="499"/>
      <c r="P15" s="500"/>
      <c r="Q15" s="33" t="s">
        <v>18</v>
      </c>
      <c r="R15" s="33" t="s">
        <v>54</v>
      </c>
      <c r="S15" s="33" t="s">
        <v>121</v>
      </c>
      <c r="T15" s="374" t="s">
        <v>485</v>
      </c>
      <c r="U15" s="496"/>
      <c r="V15" s="172"/>
    </row>
    <row r="16" spans="1:22" s="16" customFormat="1">
      <c r="A16" s="489"/>
      <c r="B16" s="501" t="s">
        <v>19</v>
      </c>
      <c r="C16" s="502"/>
      <c r="D16" s="502"/>
      <c r="E16" s="502"/>
      <c r="F16" s="502"/>
      <c r="G16" s="502"/>
      <c r="H16" s="502"/>
      <c r="I16" s="502"/>
      <c r="J16" s="502"/>
      <c r="K16" s="502"/>
      <c r="L16" s="502"/>
      <c r="M16" s="502"/>
      <c r="N16" s="502"/>
      <c r="O16" s="502"/>
      <c r="P16" s="503"/>
      <c r="Q16" s="35" t="s">
        <v>20</v>
      </c>
      <c r="R16" s="93">
        <v>524119</v>
      </c>
      <c r="S16" s="93">
        <v>522151</v>
      </c>
      <c r="T16" s="93">
        <v>522191</v>
      </c>
      <c r="U16" s="497"/>
      <c r="V16" s="172"/>
    </row>
    <row r="17" spans="1:22" s="16" customFormat="1">
      <c r="A17" s="36" t="s">
        <v>21</v>
      </c>
      <c r="B17" s="506">
        <v>2</v>
      </c>
      <c r="C17" s="507"/>
      <c r="D17" s="507"/>
      <c r="E17" s="507"/>
      <c r="F17" s="507"/>
      <c r="G17" s="507"/>
      <c r="H17" s="507"/>
      <c r="I17" s="507"/>
      <c r="J17" s="507"/>
      <c r="K17" s="507"/>
      <c r="L17" s="507"/>
      <c r="M17" s="507"/>
      <c r="N17" s="507"/>
      <c r="O17" s="507"/>
      <c r="P17" s="508"/>
      <c r="Q17" s="36" t="s">
        <v>22</v>
      </c>
      <c r="R17" s="36"/>
      <c r="S17" s="36"/>
      <c r="T17" s="36"/>
      <c r="U17" s="36" t="s">
        <v>25</v>
      </c>
      <c r="V17" s="172"/>
    </row>
    <row r="18" spans="1:22">
      <c r="A18" s="37"/>
      <c r="B18" s="38"/>
      <c r="C18" s="38"/>
      <c r="D18" s="38"/>
      <c r="E18" s="38"/>
      <c r="F18" s="197"/>
      <c r="G18" s="39"/>
      <c r="H18" s="39"/>
      <c r="I18" s="38"/>
      <c r="J18" s="39"/>
      <c r="K18" s="39"/>
      <c r="L18" s="38"/>
      <c r="M18" s="39"/>
      <c r="N18" s="39"/>
      <c r="O18" s="39"/>
      <c r="P18" s="38"/>
      <c r="Q18" s="40"/>
      <c r="R18" s="40"/>
      <c r="S18" s="40"/>
      <c r="T18" s="40"/>
      <c r="U18" s="40"/>
    </row>
    <row r="19" spans="1:22">
      <c r="A19" s="42"/>
      <c r="B19" s="55" t="s">
        <v>206</v>
      </c>
      <c r="C19" s="16"/>
      <c r="D19" s="16"/>
      <c r="E19" s="16"/>
      <c r="F19" s="19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43"/>
      <c r="R19" s="43"/>
      <c r="S19" s="43"/>
      <c r="T19" s="43"/>
      <c r="U19" s="50"/>
    </row>
    <row r="20" spans="1:22" ht="15.6">
      <c r="A20" s="44"/>
      <c r="B20" s="16"/>
      <c r="C20" s="45"/>
      <c r="D20" s="46"/>
      <c r="E20" s="47"/>
      <c r="F20" s="183"/>
      <c r="G20" s="48"/>
      <c r="H20" s="48"/>
      <c r="I20" s="47"/>
      <c r="J20" s="48"/>
      <c r="K20" s="48"/>
      <c r="L20" s="47"/>
      <c r="M20" s="48"/>
      <c r="N20" s="48"/>
      <c r="O20" s="48"/>
      <c r="P20" s="47"/>
      <c r="Q20" s="49"/>
      <c r="R20" s="49"/>
      <c r="S20" s="49"/>
      <c r="T20" s="49"/>
      <c r="U20" s="49"/>
    </row>
    <row r="21" spans="1:22">
      <c r="A21" s="54">
        <v>1</v>
      </c>
      <c r="B21" s="97" t="s">
        <v>194</v>
      </c>
      <c r="C21" s="56"/>
      <c r="D21" s="4"/>
      <c r="E21" s="4"/>
      <c r="F21" s="182"/>
      <c r="G21" s="4"/>
      <c r="H21" s="4"/>
      <c r="I21" s="47"/>
      <c r="J21" s="48"/>
      <c r="K21" s="48"/>
      <c r="L21" s="47"/>
      <c r="M21" s="48"/>
      <c r="N21" s="48"/>
      <c r="O21" s="48"/>
      <c r="P21" s="57"/>
      <c r="Q21" s="63"/>
      <c r="R21" s="63"/>
      <c r="S21" s="63"/>
      <c r="T21" s="63"/>
      <c r="U21" s="49">
        <f>SUM(Q21:T21)</f>
        <v>0</v>
      </c>
      <c r="V21" s="34">
        <f>SUM(U24:U70)</f>
        <v>258784000</v>
      </c>
    </row>
    <row r="22" spans="1:22" ht="15.6">
      <c r="A22" s="335" t="s">
        <v>49</v>
      </c>
      <c r="B22" s="22" t="s">
        <v>390</v>
      </c>
      <c r="C22" s="45"/>
      <c r="D22" s="46"/>
      <c r="E22" s="47"/>
      <c r="F22" s="47"/>
      <c r="G22" s="48"/>
      <c r="H22" s="48"/>
      <c r="I22" s="47"/>
      <c r="J22" s="48"/>
      <c r="K22" s="48"/>
      <c r="L22" s="47"/>
      <c r="M22" s="48"/>
      <c r="N22" s="48"/>
      <c r="O22" s="48"/>
      <c r="P22" s="47"/>
      <c r="Q22" s="49"/>
      <c r="R22" s="49"/>
      <c r="S22" s="49"/>
      <c r="T22" s="49"/>
      <c r="U22" s="49"/>
      <c r="V22" s="41">
        <f>SUM(U24:U37)</f>
        <v>81634000</v>
      </c>
    </row>
    <row r="23" spans="1:22">
      <c r="A23" s="54"/>
      <c r="B23" s="55" t="s">
        <v>42</v>
      </c>
      <c r="C23" s="4"/>
      <c r="D23" s="4"/>
      <c r="E23" s="47"/>
      <c r="F23" s="4"/>
      <c r="G23" s="4"/>
      <c r="H23" s="4"/>
      <c r="I23" s="47"/>
      <c r="J23" s="48"/>
      <c r="K23" s="48"/>
      <c r="L23" s="47"/>
      <c r="M23" s="48"/>
      <c r="N23" s="48"/>
      <c r="O23" s="48"/>
      <c r="P23" s="57"/>
      <c r="Q23" s="63"/>
      <c r="R23" s="9"/>
      <c r="S23" s="9"/>
      <c r="T23" s="9"/>
      <c r="U23" s="49"/>
      <c r="V23" s="41"/>
    </row>
    <row r="24" spans="1:22">
      <c r="A24" s="54"/>
      <c r="B24" s="43" t="s">
        <v>43</v>
      </c>
      <c r="C24" s="4"/>
      <c r="D24" s="4"/>
      <c r="E24" s="47"/>
      <c r="F24" s="4"/>
      <c r="G24" s="4"/>
      <c r="H24" s="4"/>
      <c r="I24" s="47"/>
      <c r="J24" s="48"/>
      <c r="K24" s="48"/>
      <c r="L24" s="47">
        <v>1</v>
      </c>
      <c r="M24" s="48" t="s">
        <v>26</v>
      </c>
      <c r="N24" s="48" t="s">
        <v>27</v>
      </c>
      <c r="O24" s="48" t="s">
        <v>28</v>
      </c>
      <c r="P24" s="57">
        <v>500000</v>
      </c>
      <c r="Q24" s="63">
        <f>P24*L24</f>
        <v>500000</v>
      </c>
      <c r="R24" s="9"/>
      <c r="S24" s="9"/>
      <c r="T24" s="9"/>
      <c r="U24" s="49">
        <f>SUM(Q24:T24)</f>
        <v>500000</v>
      </c>
      <c r="V24" s="41"/>
    </row>
    <row r="25" spans="1:22">
      <c r="A25" s="54"/>
      <c r="B25" s="122" t="s">
        <v>172</v>
      </c>
      <c r="C25" s="4"/>
      <c r="D25" s="4"/>
      <c r="E25" s="47"/>
      <c r="F25" s="4"/>
      <c r="G25" s="4"/>
      <c r="H25" s="4"/>
      <c r="I25" s="47"/>
      <c r="J25" s="48"/>
      <c r="K25" s="48"/>
      <c r="L25" s="47"/>
      <c r="M25" s="48"/>
      <c r="N25" s="48"/>
      <c r="O25" s="48"/>
      <c r="P25" s="47"/>
      <c r="Q25" s="63"/>
      <c r="R25" s="9"/>
      <c r="S25" s="9"/>
      <c r="T25" s="9"/>
      <c r="U25" s="49"/>
      <c r="V25" s="41"/>
    </row>
    <row r="26" spans="1:22">
      <c r="A26" s="54"/>
      <c r="B26" s="336" t="s">
        <v>391</v>
      </c>
      <c r="C26" s="4"/>
      <c r="D26" s="4"/>
      <c r="E26" s="47"/>
      <c r="F26" s="4"/>
      <c r="G26" s="4"/>
      <c r="H26" s="4"/>
      <c r="I26" s="47"/>
      <c r="J26" s="48"/>
      <c r="K26" s="48"/>
      <c r="L26" s="47"/>
      <c r="M26" s="48"/>
      <c r="N26" s="48"/>
      <c r="O26" s="48"/>
      <c r="P26" s="47"/>
      <c r="Q26" s="63"/>
      <c r="R26" s="9"/>
      <c r="S26" s="9"/>
      <c r="T26" s="9"/>
      <c r="U26" s="49"/>
      <c r="V26" s="41"/>
    </row>
    <row r="27" spans="1:22">
      <c r="A27" s="54"/>
      <c r="B27" s="102" t="s">
        <v>466</v>
      </c>
      <c r="C27" s="4"/>
      <c r="D27" s="4"/>
      <c r="E27" s="47"/>
      <c r="F27" s="4"/>
      <c r="G27" s="4"/>
      <c r="H27" s="4"/>
      <c r="I27" s="47">
        <v>5</v>
      </c>
      <c r="J27" s="48" t="s">
        <v>30</v>
      </c>
      <c r="K27" s="48" t="s">
        <v>27</v>
      </c>
      <c r="L27" s="47">
        <v>1</v>
      </c>
      <c r="M27" s="48" t="s">
        <v>200</v>
      </c>
      <c r="N27" s="48" t="s">
        <v>27</v>
      </c>
      <c r="O27" s="48" t="s">
        <v>28</v>
      </c>
      <c r="P27" s="47">
        <v>5000000</v>
      </c>
      <c r="Q27" s="63"/>
      <c r="R27" s="9"/>
      <c r="S27" s="9"/>
      <c r="T27" s="9">
        <f>P27*L27*I27</f>
        <v>25000000</v>
      </c>
      <c r="U27" s="49">
        <f t="shared" ref="U27:U63" si="0">SUM(Q27:T27)</f>
        <v>25000000</v>
      </c>
      <c r="V27" s="41">
        <f>SUM(U27:U30)</f>
        <v>57650000</v>
      </c>
    </row>
    <row r="28" spans="1:22">
      <c r="A28" s="54"/>
      <c r="B28" s="102" t="s">
        <v>465</v>
      </c>
      <c r="C28" s="4"/>
      <c r="D28" s="4"/>
      <c r="E28" s="47"/>
      <c r="F28" s="4"/>
      <c r="G28" s="4"/>
      <c r="H28" s="4"/>
      <c r="I28" s="47">
        <v>5</v>
      </c>
      <c r="J28" s="48" t="s">
        <v>30</v>
      </c>
      <c r="K28" s="48" t="s">
        <v>27</v>
      </c>
      <c r="L28" s="47">
        <v>1</v>
      </c>
      <c r="M28" s="48" t="s">
        <v>200</v>
      </c>
      <c r="N28" s="48" t="s">
        <v>27</v>
      </c>
      <c r="O28" s="48" t="s">
        <v>28</v>
      </c>
      <c r="P28" s="47">
        <f>(174000+171000)*2</f>
        <v>690000</v>
      </c>
      <c r="Q28" s="63"/>
      <c r="R28" s="9"/>
      <c r="S28" s="9"/>
      <c r="T28" s="9">
        <f t="shared" ref="T28" si="1">P28*L28*I28</f>
        <v>3450000</v>
      </c>
      <c r="U28" s="49">
        <f t="shared" ref="U28" si="2">SUM(Q28:T28)</f>
        <v>3450000</v>
      </c>
      <c r="V28" s="41"/>
    </row>
    <row r="29" spans="1:22">
      <c r="A29" s="54"/>
      <c r="B29" s="102" t="s">
        <v>392</v>
      </c>
      <c r="C29" s="4"/>
      <c r="D29" s="4"/>
      <c r="E29" s="47"/>
      <c r="F29" s="4"/>
      <c r="G29" s="4"/>
      <c r="H29" s="4"/>
      <c r="I29" s="47">
        <v>5</v>
      </c>
      <c r="J29" s="48" t="s">
        <v>30</v>
      </c>
      <c r="K29" s="48" t="s">
        <v>27</v>
      </c>
      <c r="L29" s="47">
        <v>8</v>
      </c>
      <c r="M29" s="48" t="s">
        <v>31</v>
      </c>
      <c r="N29" s="48" t="s">
        <v>27</v>
      </c>
      <c r="O29" s="48" t="s">
        <v>28</v>
      </c>
      <c r="P29" s="47">
        <v>380000</v>
      </c>
      <c r="Q29" s="63"/>
      <c r="R29" s="9"/>
      <c r="S29" s="9"/>
      <c r="T29" s="9">
        <f t="shared" ref="T29:T63" si="3">P29*L29*I29</f>
        <v>15200000</v>
      </c>
      <c r="U29" s="49">
        <f t="shared" si="0"/>
        <v>15200000</v>
      </c>
      <c r="V29" s="41"/>
    </row>
    <row r="30" spans="1:22">
      <c r="A30" s="54"/>
      <c r="B30" s="102" t="s">
        <v>393</v>
      </c>
      <c r="C30" s="4"/>
      <c r="D30" s="4"/>
      <c r="E30" s="47"/>
      <c r="F30" s="4"/>
      <c r="G30" s="4"/>
      <c r="H30" s="4"/>
      <c r="I30" s="47">
        <v>5</v>
      </c>
      <c r="J30" s="48" t="s">
        <v>30</v>
      </c>
      <c r="K30" s="48" t="s">
        <v>27</v>
      </c>
      <c r="L30" s="47">
        <v>7</v>
      </c>
      <c r="M30" s="48" t="s">
        <v>31</v>
      </c>
      <c r="N30" s="48" t="s">
        <v>27</v>
      </c>
      <c r="O30" s="48" t="s">
        <v>28</v>
      </c>
      <c r="P30" s="47">
        <v>400000</v>
      </c>
      <c r="Q30" s="63"/>
      <c r="R30" s="9"/>
      <c r="S30" s="9"/>
      <c r="T30" s="9">
        <f t="shared" si="3"/>
        <v>14000000</v>
      </c>
      <c r="U30" s="49">
        <f t="shared" si="0"/>
        <v>14000000</v>
      </c>
      <c r="V30" s="41"/>
    </row>
    <row r="31" spans="1:22">
      <c r="A31" s="54"/>
      <c r="B31" s="288"/>
      <c r="C31" s="4"/>
      <c r="D31" s="4"/>
      <c r="E31" s="47"/>
      <c r="F31" s="4"/>
      <c r="G31" s="4"/>
      <c r="H31" s="4"/>
      <c r="I31" s="47"/>
      <c r="J31" s="48"/>
      <c r="K31" s="48"/>
      <c r="L31" s="47"/>
      <c r="M31" s="48"/>
      <c r="N31" s="48"/>
      <c r="O31" s="48"/>
      <c r="P31" s="47"/>
      <c r="Q31" s="63"/>
      <c r="R31" s="9"/>
      <c r="S31" s="9"/>
      <c r="T31" s="9"/>
      <c r="U31" s="49"/>
      <c r="V31" s="41"/>
    </row>
    <row r="32" spans="1:22">
      <c r="A32" s="54"/>
      <c r="B32" s="122" t="s">
        <v>172</v>
      </c>
      <c r="C32" s="4"/>
      <c r="D32" s="4"/>
      <c r="E32" s="47"/>
      <c r="F32" s="4"/>
      <c r="G32" s="4"/>
      <c r="H32" s="4"/>
      <c r="I32" s="47"/>
      <c r="J32" s="48"/>
      <c r="K32" s="48"/>
      <c r="L32" s="47"/>
      <c r="M32" s="48"/>
      <c r="N32" s="48"/>
      <c r="O32" s="48"/>
      <c r="P32" s="47"/>
      <c r="Q32" s="63"/>
      <c r="R32" s="9"/>
      <c r="S32" s="9"/>
      <c r="T32" s="9"/>
      <c r="U32" s="49"/>
      <c r="V32" s="41"/>
    </row>
    <row r="33" spans="1:22">
      <c r="A33" s="54"/>
      <c r="B33" s="458" t="s">
        <v>630</v>
      </c>
      <c r="C33" s="4"/>
      <c r="D33" s="4"/>
      <c r="E33" s="47"/>
      <c r="F33" s="4"/>
      <c r="G33" s="4"/>
      <c r="H33" s="4"/>
      <c r="I33" s="47"/>
      <c r="J33" s="48"/>
      <c r="K33" s="48"/>
      <c r="L33" s="47"/>
      <c r="M33" s="48"/>
      <c r="N33" s="48"/>
      <c r="O33" s="48"/>
      <c r="P33" s="47"/>
      <c r="Q33" s="63"/>
      <c r="R33" s="9"/>
      <c r="S33" s="9"/>
      <c r="T33" s="9"/>
      <c r="U33" s="49"/>
      <c r="V33" s="41"/>
    </row>
    <row r="34" spans="1:22">
      <c r="A34" s="54"/>
      <c r="B34" s="288" t="s">
        <v>467</v>
      </c>
      <c r="C34" s="4"/>
      <c r="D34" s="4"/>
      <c r="E34" s="47"/>
      <c r="F34" s="4"/>
      <c r="G34" s="4"/>
      <c r="H34" s="4"/>
      <c r="I34" s="47">
        <v>2</v>
      </c>
      <c r="J34" s="48" t="s">
        <v>30</v>
      </c>
      <c r="K34" s="48" t="s">
        <v>27</v>
      </c>
      <c r="L34" s="47">
        <v>1</v>
      </c>
      <c r="M34" s="48" t="s">
        <v>200</v>
      </c>
      <c r="N34" s="48" t="s">
        <v>27</v>
      </c>
      <c r="O34" s="48" t="s">
        <v>28</v>
      </c>
      <c r="P34" s="47">
        <v>6000000</v>
      </c>
      <c r="Q34" s="63"/>
      <c r="R34" s="9"/>
      <c r="S34" s="9"/>
      <c r="T34" s="9">
        <f t="shared" si="3"/>
        <v>12000000</v>
      </c>
      <c r="U34" s="49">
        <f t="shared" si="0"/>
        <v>12000000</v>
      </c>
      <c r="V34" s="41">
        <f>SUM(U34:U37)</f>
        <v>23484000</v>
      </c>
    </row>
    <row r="35" spans="1:22">
      <c r="A35" s="54"/>
      <c r="B35" s="102" t="s">
        <v>465</v>
      </c>
      <c r="C35" s="4"/>
      <c r="D35" s="4"/>
      <c r="E35" s="47"/>
      <c r="F35" s="4"/>
      <c r="G35" s="4"/>
      <c r="H35" s="4"/>
      <c r="I35" s="47">
        <v>2</v>
      </c>
      <c r="J35" s="48" t="s">
        <v>30</v>
      </c>
      <c r="K35" s="48" t="s">
        <v>27</v>
      </c>
      <c r="L35" s="47">
        <v>1</v>
      </c>
      <c r="M35" s="48" t="s">
        <v>200</v>
      </c>
      <c r="N35" s="48" t="s">
        <v>27</v>
      </c>
      <c r="O35" s="48" t="s">
        <v>28</v>
      </c>
      <c r="P35" s="47">
        <f>(170000+171000)*2</f>
        <v>682000</v>
      </c>
      <c r="Q35" s="63"/>
      <c r="R35" s="9"/>
      <c r="S35" s="9"/>
      <c r="T35" s="9">
        <f t="shared" si="3"/>
        <v>1364000</v>
      </c>
      <c r="U35" s="49">
        <f t="shared" si="0"/>
        <v>1364000</v>
      </c>
      <c r="V35" s="41"/>
    </row>
    <row r="36" spans="1:22">
      <c r="A36" s="54"/>
      <c r="B36" s="288" t="s">
        <v>392</v>
      </c>
      <c r="C36" s="4"/>
      <c r="D36" s="4"/>
      <c r="E36" s="47"/>
      <c r="F36" s="4"/>
      <c r="G36" s="4"/>
      <c r="H36" s="4"/>
      <c r="I36" s="47">
        <v>2</v>
      </c>
      <c r="J36" s="48" t="s">
        <v>30</v>
      </c>
      <c r="K36" s="48" t="s">
        <v>27</v>
      </c>
      <c r="L36" s="47">
        <v>7</v>
      </c>
      <c r="M36" s="48" t="s">
        <v>31</v>
      </c>
      <c r="N36" s="48" t="s">
        <v>27</v>
      </c>
      <c r="O36" s="48" t="s">
        <v>28</v>
      </c>
      <c r="P36" s="47">
        <v>380000</v>
      </c>
      <c r="Q36" s="63"/>
      <c r="R36" s="9"/>
      <c r="S36" s="9"/>
      <c r="T36" s="9">
        <f t="shared" si="3"/>
        <v>5320000</v>
      </c>
      <c r="U36" s="49">
        <f t="shared" si="0"/>
        <v>5320000</v>
      </c>
      <c r="V36" s="41"/>
    </row>
    <row r="37" spans="1:22">
      <c r="A37" s="54"/>
      <c r="B37" s="288" t="s">
        <v>393</v>
      </c>
      <c r="C37" s="4"/>
      <c r="D37" s="4"/>
      <c r="E37" s="47"/>
      <c r="F37" s="4"/>
      <c r="G37" s="4"/>
      <c r="H37" s="4"/>
      <c r="I37" s="47">
        <v>2</v>
      </c>
      <c r="J37" s="48" t="s">
        <v>30</v>
      </c>
      <c r="K37" s="48" t="s">
        <v>27</v>
      </c>
      <c r="L37" s="47">
        <v>6</v>
      </c>
      <c r="M37" s="48" t="s">
        <v>31</v>
      </c>
      <c r="N37" s="48" t="s">
        <v>27</v>
      </c>
      <c r="O37" s="48" t="s">
        <v>28</v>
      </c>
      <c r="P37" s="47">
        <v>400000</v>
      </c>
      <c r="Q37" s="63"/>
      <c r="R37" s="9"/>
      <c r="S37" s="9"/>
      <c r="T37" s="9">
        <f t="shared" si="3"/>
        <v>4800000</v>
      </c>
      <c r="U37" s="49">
        <f t="shared" si="0"/>
        <v>4800000</v>
      </c>
      <c r="V37" s="41"/>
    </row>
    <row r="38" spans="1:22">
      <c r="A38" s="54"/>
      <c r="B38" s="288"/>
      <c r="C38" s="4"/>
      <c r="D38" s="4"/>
      <c r="E38" s="47"/>
      <c r="F38" s="4"/>
      <c r="G38" s="4"/>
      <c r="H38" s="4"/>
      <c r="I38" s="47"/>
      <c r="J38" s="48"/>
      <c r="K38" s="48"/>
      <c r="L38" s="47"/>
      <c r="M38" s="48"/>
      <c r="N38" s="48"/>
      <c r="O38" s="48"/>
      <c r="P38" s="47"/>
      <c r="Q38" s="63"/>
      <c r="R38" s="9"/>
      <c r="S38" s="9"/>
      <c r="T38" s="9"/>
      <c r="U38" s="49"/>
      <c r="V38" s="41"/>
    </row>
    <row r="39" spans="1:22">
      <c r="A39" s="54" t="s">
        <v>50</v>
      </c>
      <c r="B39" s="122" t="s">
        <v>394</v>
      </c>
      <c r="C39" s="4"/>
      <c r="D39" s="4"/>
      <c r="E39" s="47"/>
      <c r="F39" s="4"/>
      <c r="G39" s="4"/>
      <c r="H39" s="4"/>
      <c r="I39" s="47"/>
      <c r="J39" s="48"/>
      <c r="K39" s="48"/>
      <c r="L39" s="47"/>
      <c r="M39" s="48"/>
      <c r="N39" s="48"/>
      <c r="O39" s="48"/>
      <c r="P39" s="47"/>
      <c r="Q39" s="63"/>
      <c r="R39" s="9"/>
      <c r="S39" s="9"/>
      <c r="T39" s="9"/>
      <c r="U39" s="49"/>
      <c r="V39" s="41">
        <f>SUM(U39:U54)</f>
        <v>117494000</v>
      </c>
    </row>
    <row r="40" spans="1:22">
      <c r="A40" s="54"/>
      <c r="B40" s="55" t="s">
        <v>42</v>
      </c>
      <c r="C40" s="4"/>
      <c r="D40" s="4"/>
      <c r="E40" s="47"/>
      <c r="F40" s="4"/>
      <c r="G40" s="4"/>
      <c r="H40" s="4"/>
      <c r="I40" s="47"/>
      <c r="J40" s="48"/>
      <c r="K40" s="48"/>
      <c r="L40" s="47"/>
      <c r="M40" s="48"/>
      <c r="N40" s="48"/>
      <c r="O40" s="48"/>
      <c r="P40" s="57"/>
      <c r="Q40" s="63"/>
      <c r="R40" s="9"/>
      <c r="S40" s="9"/>
      <c r="T40" s="9"/>
      <c r="U40" s="49"/>
      <c r="V40" s="41"/>
    </row>
    <row r="41" spans="1:22">
      <c r="A41" s="54"/>
      <c r="B41" s="43" t="s">
        <v>43</v>
      </c>
      <c r="C41" s="4"/>
      <c r="D41" s="4"/>
      <c r="E41" s="47"/>
      <c r="F41" s="4"/>
      <c r="G41" s="4"/>
      <c r="H41" s="4"/>
      <c r="I41" s="47"/>
      <c r="J41" s="48"/>
      <c r="K41" s="48"/>
      <c r="L41" s="47">
        <v>1</v>
      </c>
      <c r="M41" s="48" t="s">
        <v>26</v>
      </c>
      <c r="N41" s="48" t="s">
        <v>27</v>
      </c>
      <c r="O41" s="48" t="s">
        <v>28</v>
      </c>
      <c r="P41" s="57">
        <v>500000</v>
      </c>
      <c r="Q41" s="63">
        <f>P41*L41</f>
        <v>500000</v>
      </c>
      <c r="R41" s="9"/>
      <c r="S41" s="9"/>
      <c r="T41" s="9"/>
      <c r="U41" s="49">
        <f t="shared" si="0"/>
        <v>500000</v>
      </c>
      <c r="V41" s="41"/>
    </row>
    <row r="42" spans="1:22">
      <c r="A42" s="54"/>
      <c r="B42" s="122" t="s">
        <v>172</v>
      </c>
      <c r="C42" s="4"/>
      <c r="D42" s="4"/>
      <c r="E42" s="47"/>
      <c r="F42" s="4"/>
      <c r="G42" s="4"/>
      <c r="H42" s="4"/>
      <c r="I42" s="47"/>
      <c r="J42" s="48"/>
      <c r="K42" s="48"/>
      <c r="L42" s="47"/>
      <c r="M42" s="48"/>
      <c r="N42" s="48"/>
      <c r="O42" s="48"/>
      <c r="P42" s="47"/>
      <c r="Q42" s="63"/>
      <c r="R42" s="9"/>
      <c r="S42" s="9"/>
      <c r="T42" s="9"/>
      <c r="U42" s="49"/>
      <c r="V42" s="41"/>
    </row>
    <row r="43" spans="1:22">
      <c r="A43" s="54"/>
      <c r="B43" s="336" t="s">
        <v>391</v>
      </c>
      <c r="C43" s="4"/>
      <c r="D43" s="4"/>
      <c r="E43" s="47"/>
      <c r="F43" s="4"/>
      <c r="G43" s="4"/>
      <c r="H43" s="4"/>
      <c r="I43" s="47"/>
      <c r="J43" s="48"/>
      <c r="K43" s="48"/>
      <c r="L43" s="47"/>
      <c r="M43" s="48"/>
      <c r="N43" s="48"/>
      <c r="O43" s="48"/>
      <c r="P43" s="47"/>
      <c r="Q43" s="63"/>
      <c r="R43" s="9"/>
      <c r="S43" s="9"/>
      <c r="T43" s="9"/>
      <c r="U43" s="49"/>
      <c r="V43" s="41"/>
    </row>
    <row r="44" spans="1:22">
      <c r="A44" s="54"/>
      <c r="B44" s="102" t="s">
        <v>469</v>
      </c>
      <c r="C44" s="4"/>
      <c r="D44" s="4"/>
      <c r="E44" s="47"/>
      <c r="F44" s="4"/>
      <c r="G44" s="4"/>
      <c r="H44" s="4"/>
      <c r="I44" s="47">
        <v>5</v>
      </c>
      <c r="J44" s="48" t="s">
        <v>30</v>
      </c>
      <c r="K44" s="48" t="s">
        <v>27</v>
      </c>
      <c r="L44" s="47">
        <v>1</v>
      </c>
      <c r="M44" s="48" t="s">
        <v>200</v>
      </c>
      <c r="N44" s="48" t="s">
        <v>27</v>
      </c>
      <c r="O44" s="48" t="s">
        <v>28</v>
      </c>
      <c r="P44" s="47">
        <v>7000000</v>
      </c>
      <c r="Q44" s="63"/>
      <c r="R44" s="9"/>
      <c r="S44" s="9"/>
      <c r="T44" s="9">
        <f t="shared" si="3"/>
        <v>35000000</v>
      </c>
      <c r="U44" s="49">
        <f t="shared" si="0"/>
        <v>35000000</v>
      </c>
      <c r="V44" s="41">
        <f>SUM(U44:U47)</f>
        <v>84550000</v>
      </c>
    </row>
    <row r="45" spans="1:22">
      <c r="A45" s="54"/>
      <c r="B45" s="102" t="s">
        <v>465</v>
      </c>
      <c r="C45" s="4"/>
      <c r="D45" s="4"/>
      <c r="E45" s="47"/>
      <c r="F45" s="4"/>
      <c r="G45" s="4"/>
      <c r="H45" s="4"/>
      <c r="I45" s="47">
        <v>5</v>
      </c>
      <c r="J45" s="48" t="s">
        <v>30</v>
      </c>
      <c r="K45" s="48" t="s">
        <v>27</v>
      </c>
      <c r="L45" s="47">
        <v>1</v>
      </c>
      <c r="M45" s="48" t="s">
        <v>200</v>
      </c>
      <c r="N45" s="48" t="s">
        <v>27</v>
      </c>
      <c r="O45" s="48" t="s">
        <v>28</v>
      </c>
      <c r="P45" s="47">
        <f>(174000+171000)*2</f>
        <v>690000</v>
      </c>
      <c r="Q45" s="63"/>
      <c r="R45" s="9"/>
      <c r="S45" s="9"/>
      <c r="T45" s="9">
        <f t="shared" si="3"/>
        <v>3450000</v>
      </c>
      <c r="U45" s="49">
        <f t="shared" si="0"/>
        <v>3450000</v>
      </c>
      <c r="V45" s="41"/>
    </row>
    <row r="46" spans="1:22">
      <c r="A46" s="54"/>
      <c r="B46" s="102" t="s">
        <v>392</v>
      </c>
      <c r="C46" s="4"/>
      <c r="D46" s="4"/>
      <c r="E46" s="47"/>
      <c r="F46" s="4"/>
      <c r="G46" s="4"/>
      <c r="H46" s="4"/>
      <c r="I46" s="47">
        <v>5</v>
      </c>
      <c r="J46" s="48" t="s">
        <v>30</v>
      </c>
      <c r="K46" s="48" t="s">
        <v>27</v>
      </c>
      <c r="L46" s="47">
        <v>14</v>
      </c>
      <c r="M46" s="48" t="s">
        <v>31</v>
      </c>
      <c r="N46" s="48" t="s">
        <v>27</v>
      </c>
      <c r="O46" s="48" t="s">
        <v>28</v>
      </c>
      <c r="P46" s="47">
        <v>380000</v>
      </c>
      <c r="Q46" s="63"/>
      <c r="R46" s="9"/>
      <c r="S46" s="9"/>
      <c r="T46" s="9">
        <f t="shared" si="3"/>
        <v>26600000</v>
      </c>
      <c r="U46" s="49">
        <f t="shared" si="0"/>
        <v>26600000</v>
      </c>
      <c r="V46" s="41"/>
    </row>
    <row r="47" spans="1:22">
      <c r="A47" s="54"/>
      <c r="B47" s="102" t="s">
        <v>468</v>
      </c>
      <c r="C47" s="4"/>
      <c r="D47" s="4"/>
      <c r="E47" s="47"/>
      <c r="F47" s="4"/>
      <c r="G47" s="4"/>
      <c r="H47" s="4"/>
      <c r="I47" s="47">
        <v>5</v>
      </c>
      <c r="J47" s="48" t="s">
        <v>30</v>
      </c>
      <c r="K47" s="48" t="s">
        <v>27</v>
      </c>
      <c r="L47" s="47">
        <v>13</v>
      </c>
      <c r="M47" s="48" t="s">
        <v>31</v>
      </c>
      <c r="N47" s="48" t="s">
        <v>27</v>
      </c>
      <c r="O47" s="48" t="s">
        <v>28</v>
      </c>
      <c r="P47" s="47">
        <v>300000</v>
      </c>
      <c r="Q47" s="63"/>
      <c r="R47" s="9"/>
      <c r="S47" s="9"/>
      <c r="T47" s="9">
        <f t="shared" si="3"/>
        <v>19500000</v>
      </c>
      <c r="U47" s="49">
        <f t="shared" si="0"/>
        <v>19500000</v>
      </c>
      <c r="V47" s="41"/>
    </row>
    <row r="48" spans="1:22">
      <c r="A48" s="54"/>
      <c r="B48" s="288"/>
      <c r="C48" s="4"/>
      <c r="D48" s="4"/>
      <c r="E48" s="47"/>
      <c r="F48" s="4"/>
      <c r="G48" s="4"/>
      <c r="H48" s="4"/>
      <c r="I48" s="47"/>
      <c r="J48" s="48"/>
      <c r="K48" s="48"/>
      <c r="L48" s="47"/>
      <c r="M48" s="48"/>
      <c r="N48" s="48"/>
      <c r="O48" s="48"/>
      <c r="P48" s="47"/>
      <c r="Q48" s="63"/>
      <c r="R48" s="9"/>
      <c r="S48" s="9"/>
      <c r="T48" s="9"/>
      <c r="U48" s="49"/>
      <c r="V48" s="41"/>
    </row>
    <row r="49" spans="1:22">
      <c r="A49" s="54"/>
      <c r="B49" s="122" t="s">
        <v>172</v>
      </c>
      <c r="C49" s="4"/>
      <c r="D49" s="4"/>
      <c r="E49" s="47"/>
      <c r="F49" s="4"/>
      <c r="G49" s="4"/>
      <c r="H49" s="4"/>
      <c r="I49" s="47"/>
      <c r="J49" s="48"/>
      <c r="K49" s="48"/>
      <c r="L49" s="47"/>
      <c r="M49" s="48"/>
      <c r="N49" s="48"/>
      <c r="O49" s="48"/>
      <c r="P49" s="47"/>
      <c r="Q49" s="63"/>
      <c r="R49" s="9"/>
      <c r="S49" s="9"/>
      <c r="T49" s="9"/>
      <c r="U49" s="49"/>
      <c r="V49" s="41"/>
    </row>
    <row r="50" spans="1:22">
      <c r="A50" s="54"/>
      <c r="B50" s="336" t="s">
        <v>630</v>
      </c>
      <c r="C50" s="4"/>
      <c r="D50" s="4"/>
      <c r="E50" s="47"/>
      <c r="F50" s="4"/>
      <c r="G50" s="4"/>
      <c r="H50" s="4"/>
      <c r="I50" s="47"/>
      <c r="J50" s="48"/>
      <c r="K50" s="48"/>
      <c r="L50" s="47"/>
      <c r="M50" s="48"/>
      <c r="N50" s="48"/>
      <c r="O50" s="48"/>
      <c r="P50" s="47"/>
      <c r="Q50" s="63"/>
      <c r="R50" s="9"/>
      <c r="S50" s="9"/>
      <c r="T50" s="9"/>
      <c r="U50" s="49"/>
      <c r="V50" s="41"/>
    </row>
    <row r="51" spans="1:22">
      <c r="A51" s="54"/>
      <c r="B51" s="288" t="s">
        <v>470</v>
      </c>
      <c r="C51" s="4"/>
      <c r="D51" s="4"/>
      <c r="E51" s="47"/>
      <c r="F51" s="4"/>
      <c r="G51" s="4"/>
      <c r="H51" s="4"/>
      <c r="I51" s="47">
        <v>2</v>
      </c>
      <c r="J51" s="48" t="s">
        <v>30</v>
      </c>
      <c r="K51" s="48" t="s">
        <v>27</v>
      </c>
      <c r="L51" s="47">
        <v>1</v>
      </c>
      <c r="M51" s="48" t="s">
        <v>200</v>
      </c>
      <c r="N51" s="48" t="s">
        <v>27</v>
      </c>
      <c r="O51" s="48" t="s">
        <v>28</v>
      </c>
      <c r="P51" s="47">
        <v>7000000</v>
      </c>
      <c r="Q51" s="63"/>
      <c r="R51" s="9"/>
      <c r="S51" s="9"/>
      <c r="T51" s="9">
        <f t="shared" si="3"/>
        <v>14000000</v>
      </c>
      <c r="U51" s="49">
        <f t="shared" si="0"/>
        <v>14000000</v>
      </c>
      <c r="V51" s="41">
        <f>SUM(U51:U54)</f>
        <v>32444000</v>
      </c>
    </row>
    <row r="52" spans="1:22">
      <c r="A52" s="54"/>
      <c r="B52" s="102" t="s">
        <v>465</v>
      </c>
      <c r="C52" s="4"/>
      <c r="D52" s="4"/>
      <c r="E52" s="47"/>
      <c r="F52" s="4"/>
      <c r="G52" s="4"/>
      <c r="H52" s="4"/>
      <c r="I52" s="47">
        <v>2</v>
      </c>
      <c r="J52" s="48" t="s">
        <v>30</v>
      </c>
      <c r="K52" s="48" t="s">
        <v>27</v>
      </c>
      <c r="L52" s="47">
        <v>1</v>
      </c>
      <c r="M52" s="48" t="s">
        <v>200</v>
      </c>
      <c r="N52" s="48" t="s">
        <v>27</v>
      </c>
      <c r="O52" s="48" t="s">
        <v>28</v>
      </c>
      <c r="P52" s="47">
        <f>(170000+171000)*2</f>
        <v>682000</v>
      </c>
      <c r="Q52" s="63"/>
      <c r="R52" s="9"/>
      <c r="S52" s="9"/>
      <c r="T52" s="9">
        <f t="shared" ref="T52" si="4">P52*L52*I52</f>
        <v>1364000</v>
      </c>
      <c r="U52" s="49">
        <f t="shared" ref="U52" si="5">SUM(Q52:T52)</f>
        <v>1364000</v>
      </c>
      <c r="V52" s="41"/>
    </row>
    <row r="53" spans="1:22">
      <c r="A53" s="54"/>
      <c r="B53" s="288" t="s">
        <v>392</v>
      </c>
      <c r="C53" s="4"/>
      <c r="D53" s="4"/>
      <c r="E53" s="47"/>
      <c r="F53" s="4"/>
      <c r="G53" s="4"/>
      <c r="H53" s="4"/>
      <c r="I53" s="47">
        <v>2</v>
      </c>
      <c r="J53" s="48" t="s">
        <v>30</v>
      </c>
      <c r="K53" s="48" t="s">
        <v>27</v>
      </c>
      <c r="L53" s="47">
        <v>13</v>
      </c>
      <c r="M53" s="48" t="s">
        <v>31</v>
      </c>
      <c r="N53" s="48" t="s">
        <v>27</v>
      </c>
      <c r="O53" s="48" t="s">
        <v>28</v>
      </c>
      <c r="P53" s="47">
        <v>380000</v>
      </c>
      <c r="Q53" s="63"/>
      <c r="R53" s="9"/>
      <c r="S53" s="9"/>
      <c r="T53" s="9">
        <f t="shared" si="3"/>
        <v>9880000</v>
      </c>
      <c r="U53" s="49">
        <f t="shared" si="0"/>
        <v>9880000</v>
      </c>
      <c r="V53" s="41"/>
    </row>
    <row r="54" spans="1:22">
      <c r="A54" s="54"/>
      <c r="B54" s="288" t="s">
        <v>393</v>
      </c>
      <c r="C54" s="4"/>
      <c r="D54" s="4"/>
      <c r="E54" s="47"/>
      <c r="F54" s="4"/>
      <c r="G54" s="4"/>
      <c r="H54" s="4"/>
      <c r="I54" s="47">
        <v>2</v>
      </c>
      <c r="J54" s="48" t="s">
        <v>30</v>
      </c>
      <c r="K54" s="48" t="s">
        <v>27</v>
      </c>
      <c r="L54" s="47">
        <v>12</v>
      </c>
      <c r="M54" s="48" t="s">
        <v>31</v>
      </c>
      <c r="N54" s="48" t="s">
        <v>27</v>
      </c>
      <c r="O54" s="48" t="s">
        <v>28</v>
      </c>
      <c r="P54" s="47">
        <v>300000</v>
      </c>
      <c r="Q54" s="63"/>
      <c r="R54" s="9"/>
      <c r="S54" s="9"/>
      <c r="T54" s="9">
        <f t="shared" si="3"/>
        <v>7200000</v>
      </c>
      <c r="U54" s="49">
        <f t="shared" si="0"/>
        <v>7200000</v>
      </c>
      <c r="V54" s="41"/>
    </row>
    <row r="55" spans="1:22">
      <c r="A55" s="54"/>
      <c r="B55" s="122"/>
      <c r="C55" s="4"/>
      <c r="D55" s="4"/>
      <c r="E55" s="47"/>
      <c r="F55" s="4"/>
      <c r="G55" s="4"/>
      <c r="H55" s="4"/>
      <c r="I55" s="47"/>
      <c r="J55" s="48"/>
      <c r="K55" s="48"/>
      <c r="L55" s="47"/>
      <c r="M55" s="48"/>
      <c r="N55" s="48"/>
      <c r="O55" s="48"/>
      <c r="P55" s="47"/>
      <c r="Q55" s="63"/>
      <c r="R55" s="9"/>
      <c r="S55" s="9"/>
      <c r="T55" s="9"/>
      <c r="U55" s="49"/>
      <c r="V55" s="41"/>
    </row>
    <row r="56" spans="1:22">
      <c r="A56" s="54" t="s">
        <v>55</v>
      </c>
      <c r="B56" s="122" t="s">
        <v>395</v>
      </c>
      <c r="C56" s="4"/>
      <c r="D56" s="4"/>
      <c r="E56" s="47"/>
      <c r="F56" s="4"/>
      <c r="G56" s="4"/>
      <c r="H56" s="4"/>
      <c r="I56" s="47"/>
      <c r="J56" s="48"/>
      <c r="K56" s="48"/>
      <c r="L56" s="47"/>
      <c r="M56" s="48"/>
      <c r="N56" s="48"/>
      <c r="O56" s="48"/>
      <c r="P56" s="47"/>
      <c r="Q56" s="63"/>
      <c r="R56" s="9"/>
      <c r="S56" s="9"/>
      <c r="T56" s="9"/>
      <c r="U56" s="49"/>
      <c r="V56" s="41"/>
    </row>
    <row r="57" spans="1:22">
      <c r="A57" s="54"/>
      <c r="B57" s="55" t="s">
        <v>42</v>
      </c>
      <c r="C57" s="4"/>
      <c r="D57" s="4"/>
      <c r="E57" s="47"/>
      <c r="F57" s="4"/>
      <c r="G57" s="4"/>
      <c r="H57" s="4"/>
      <c r="I57" s="47"/>
      <c r="J57" s="48"/>
      <c r="K57" s="48"/>
      <c r="L57" s="47"/>
      <c r="M57" s="48"/>
      <c r="N57" s="48"/>
      <c r="O57" s="48"/>
      <c r="P57" s="57"/>
      <c r="Q57" s="63"/>
      <c r="R57" s="9"/>
      <c r="S57" s="9"/>
      <c r="T57" s="9"/>
      <c r="U57" s="49"/>
      <c r="V57" s="41">
        <f>SUM(U58:U70)</f>
        <v>59656000</v>
      </c>
    </row>
    <row r="58" spans="1:22">
      <c r="A58" s="54"/>
      <c r="B58" s="43" t="s">
        <v>43</v>
      </c>
      <c r="C58" s="4"/>
      <c r="D58" s="4"/>
      <c r="E58" s="47"/>
      <c r="F58" s="4"/>
      <c r="G58" s="4"/>
      <c r="H58" s="4"/>
      <c r="I58" s="47"/>
      <c r="J58" s="48"/>
      <c r="K58" s="48"/>
      <c r="L58" s="47">
        <v>1</v>
      </c>
      <c r="M58" s="48" t="s">
        <v>26</v>
      </c>
      <c r="N58" s="48" t="s">
        <v>27</v>
      </c>
      <c r="O58" s="48" t="s">
        <v>28</v>
      </c>
      <c r="P58" s="57">
        <v>500000</v>
      </c>
      <c r="Q58" s="63">
        <f>P58*L58</f>
        <v>500000</v>
      </c>
      <c r="R58" s="9"/>
      <c r="S58" s="9"/>
      <c r="T58" s="9"/>
      <c r="U58" s="49">
        <f t="shared" si="0"/>
        <v>500000</v>
      </c>
      <c r="V58" s="41"/>
    </row>
    <row r="59" spans="1:22">
      <c r="A59" s="54"/>
      <c r="B59" s="122" t="s">
        <v>172</v>
      </c>
      <c r="C59" s="4"/>
      <c r="D59" s="4"/>
      <c r="E59" s="47"/>
      <c r="F59" s="4"/>
      <c r="G59" s="4"/>
      <c r="H59" s="4"/>
      <c r="I59" s="47"/>
      <c r="J59" s="48"/>
      <c r="K59" s="48"/>
      <c r="L59" s="47"/>
      <c r="M59" s="48"/>
      <c r="N59" s="48"/>
      <c r="O59" s="48"/>
      <c r="P59" s="47"/>
      <c r="Q59" s="63"/>
      <c r="R59" s="9"/>
      <c r="S59" s="9"/>
      <c r="T59" s="9"/>
      <c r="U59" s="49"/>
      <c r="V59" s="41"/>
    </row>
    <row r="60" spans="1:22">
      <c r="A60" s="54"/>
      <c r="B60" s="336" t="s">
        <v>391</v>
      </c>
      <c r="C60" s="4"/>
      <c r="D60" s="4"/>
      <c r="E60" s="47"/>
      <c r="F60" s="4"/>
      <c r="G60" s="4"/>
      <c r="H60" s="4"/>
      <c r="I60" s="47"/>
      <c r="J60" s="48"/>
      <c r="K60" s="48"/>
      <c r="L60" s="47"/>
      <c r="M60" s="48"/>
      <c r="N60" s="48"/>
      <c r="O60" s="48"/>
      <c r="P60" s="47"/>
      <c r="Q60" s="63"/>
      <c r="R60" s="9"/>
      <c r="S60" s="9"/>
      <c r="T60" s="9"/>
      <c r="U60" s="49"/>
      <c r="V60" s="41"/>
    </row>
    <row r="61" spans="1:22">
      <c r="A61" s="54"/>
      <c r="B61" s="102" t="s">
        <v>396</v>
      </c>
      <c r="C61" s="4"/>
      <c r="D61" s="4"/>
      <c r="E61" s="47"/>
      <c r="F61" s="4"/>
      <c r="G61" s="4"/>
      <c r="H61" s="4"/>
      <c r="I61" s="47">
        <v>5</v>
      </c>
      <c r="J61" s="48" t="s">
        <v>30</v>
      </c>
      <c r="K61" s="48" t="s">
        <v>27</v>
      </c>
      <c r="L61" s="47">
        <v>1</v>
      </c>
      <c r="M61" s="48" t="s">
        <v>200</v>
      </c>
      <c r="N61" s="48" t="s">
        <v>27</v>
      </c>
      <c r="O61" s="48" t="s">
        <v>28</v>
      </c>
      <c r="P61" s="47">
        <v>1000000</v>
      </c>
      <c r="Q61" s="63"/>
      <c r="R61" s="9"/>
      <c r="S61" s="9"/>
      <c r="T61" s="9">
        <f t="shared" si="3"/>
        <v>5000000</v>
      </c>
      <c r="U61" s="49">
        <f t="shared" si="0"/>
        <v>5000000</v>
      </c>
      <c r="V61" s="41"/>
    </row>
    <row r="62" spans="1:22">
      <c r="A62" s="54"/>
      <c r="B62" s="102" t="s">
        <v>397</v>
      </c>
      <c r="C62" s="4"/>
      <c r="D62" s="4"/>
      <c r="E62" s="47"/>
      <c r="F62" s="4"/>
      <c r="G62" s="4"/>
      <c r="H62" s="4"/>
      <c r="I62" s="47">
        <v>5</v>
      </c>
      <c r="J62" s="48" t="s">
        <v>30</v>
      </c>
      <c r="K62" s="48" t="s">
        <v>27</v>
      </c>
      <c r="L62" s="47">
        <v>8</v>
      </c>
      <c r="M62" s="48" t="s">
        <v>31</v>
      </c>
      <c r="N62" s="48" t="s">
        <v>27</v>
      </c>
      <c r="O62" s="48" t="s">
        <v>28</v>
      </c>
      <c r="P62" s="47">
        <v>430000</v>
      </c>
      <c r="Q62" s="63"/>
      <c r="R62" s="9"/>
      <c r="S62" s="9"/>
      <c r="T62" s="9">
        <f t="shared" si="3"/>
        <v>17200000</v>
      </c>
      <c r="U62" s="49">
        <f t="shared" si="0"/>
        <v>17200000</v>
      </c>
      <c r="V62" s="41"/>
    </row>
    <row r="63" spans="1:22">
      <c r="A63" s="54"/>
      <c r="B63" s="102" t="s">
        <v>393</v>
      </c>
      <c r="C63" s="4"/>
      <c r="D63" s="4"/>
      <c r="E63" s="47"/>
      <c r="F63" s="4"/>
      <c r="G63" s="4"/>
      <c r="H63" s="4"/>
      <c r="I63" s="47">
        <v>5</v>
      </c>
      <c r="J63" s="48" t="s">
        <v>30</v>
      </c>
      <c r="K63" s="48" t="s">
        <v>27</v>
      </c>
      <c r="L63" s="47">
        <v>7</v>
      </c>
      <c r="M63" s="48" t="s">
        <v>31</v>
      </c>
      <c r="N63" s="48" t="s">
        <v>27</v>
      </c>
      <c r="O63" s="48" t="s">
        <v>28</v>
      </c>
      <c r="P63" s="47">
        <v>300000</v>
      </c>
      <c r="Q63" s="63"/>
      <c r="R63" s="9"/>
      <c r="S63" s="9"/>
      <c r="T63" s="9">
        <f t="shared" si="3"/>
        <v>10500000</v>
      </c>
      <c r="U63" s="49">
        <f t="shared" si="0"/>
        <v>10500000</v>
      </c>
      <c r="V63" s="41"/>
    </row>
    <row r="64" spans="1:22">
      <c r="A64" s="54"/>
      <c r="B64" s="288"/>
      <c r="C64" s="4"/>
      <c r="D64" s="4"/>
      <c r="E64" s="47"/>
      <c r="F64" s="4"/>
      <c r="G64" s="4"/>
      <c r="H64" s="4"/>
      <c r="I64" s="47"/>
      <c r="J64" s="48"/>
      <c r="K64" s="48"/>
      <c r="L64" s="47"/>
      <c r="M64" s="48"/>
      <c r="N64" s="48"/>
      <c r="O64" s="48"/>
      <c r="P64" s="47"/>
      <c r="Q64" s="63"/>
      <c r="R64" s="9"/>
      <c r="S64" s="9"/>
      <c r="T64" s="9"/>
      <c r="U64" s="49"/>
      <c r="V64" s="41"/>
    </row>
    <row r="65" spans="1:22">
      <c r="A65" s="54"/>
      <c r="B65" s="122" t="s">
        <v>172</v>
      </c>
      <c r="C65" s="4"/>
      <c r="D65" s="4"/>
      <c r="E65" s="47"/>
      <c r="F65" s="4"/>
      <c r="G65" s="4"/>
      <c r="H65" s="4"/>
      <c r="I65" s="47"/>
      <c r="J65" s="48"/>
      <c r="K65" s="48"/>
      <c r="L65" s="47"/>
      <c r="M65" s="48"/>
      <c r="N65" s="48"/>
      <c r="O65" s="48"/>
      <c r="P65" s="47"/>
      <c r="Q65" s="63"/>
      <c r="R65" s="9"/>
      <c r="S65" s="9"/>
      <c r="T65" s="9"/>
      <c r="U65" s="49"/>
      <c r="V65" s="41"/>
    </row>
    <row r="66" spans="1:22">
      <c r="A66" s="54"/>
      <c r="B66" s="336" t="s">
        <v>630</v>
      </c>
      <c r="C66" s="4"/>
      <c r="D66" s="4"/>
      <c r="E66" s="47"/>
      <c r="F66" s="4"/>
      <c r="G66" s="4"/>
      <c r="H66" s="4"/>
      <c r="I66" s="47"/>
      <c r="J66" s="48"/>
      <c r="K66" s="48"/>
      <c r="L66" s="47"/>
      <c r="M66" s="48"/>
      <c r="N66" s="48"/>
      <c r="O66" s="48"/>
      <c r="P66" s="47"/>
      <c r="Q66" s="63"/>
      <c r="R66" s="9"/>
      <c r="S66" s="9"/>
      <c r="T66" s="9"/>
      <c r="U66" s="49"/>
      <c r="V66" s="41"/>
    </row>
    <row r="67" spans="1:22">
      <c r="A67" s="54"/>
      <c r="B67" s="288" t="s">
        <v>398</v>
      </c>
      <c r="C67" s="4"/>
      <c r="D67" s="4"/>
      <c r="E67" s="47"/>
      <c r="F67" s="4"/>
      <c r="G67" s="4"/>
      <c r="H67" s="4"/>
      <c r="I67" s="47">
        <v>2</v>
      </c>
      <c r="J67" s="48" t="s">
        <v>30</v>
      </c>
      <c r="K67" s="48" t="s">
        <v>27</v>
      </c>
      <c r="L67" s="47">
        <v>1</v>
      </c>
      <c r="M67" s="48" t="s">
        <v>200</v>
      </c>
      <c r="N67" s="48" t="s">
        <v>27</v>
      </c>
      <c r="O67" s="48" t="s">
        <v>28</v>
      </c>
      <c r="P67" s="47">
        <v>7000000</v>
      </c>
      <c r="Q67" s="63"/>
      <c r="R67" s="9"/>
      <c r="S67" s="9"/>
      <c r="T67" s="9">
        <f t="shared" ref="T67:T70" si="6">P67*L67*I67</f>
        <v>14000000</v>
      </c>
      <c r="U67" s="49">
        <f t="shared" ref="U67:U70" si="7">SUM(Q67:T67)</f>
        <v>14000000</v>
      </c>
      <c r="V67" s="41"/>
    </row>
    <row r="68" spans="1:22">
      <c r="A68" s="54"/>
      <c r="B68" s="102" t="s">
        <v>465</v>
      </c>
      <c r="C68" s="4"/>
      <c r="D68" s="4"/>
      <c r="E68" s="47"/>
      <c r="F68" s="4"/>
      <c r="G68" s="4"/>
      <c r="H68" s="4"/>
      <c r="I68" s="47">
        <v>2</v>
      </c>
      <c r="J68" s="48" t="s">
        <v>30</v>
      </c>
      <c r="K68" s="48" t="s">
        <v>27</v>
      </c>
      <c r="L68" s="47">
        <v>1</v>
      </c>
      <c r="M68" s="48" t="s">
        <v>200</v>
      </c>
      <c r="N68" s="48" t="s">
        <v>27</v>
      </c>
      <c r="O68" s="48" t="s">
        <v>28</v>
      </c>
      <c r="P68" s="47">
        <f>(170000+174000)*2</f>
        <v>688000</v>
      </c>
      <c r="Q68" s="63"/>
      <c r="R68" s="9"/>
      <c r="S68" s="9"/>
      <c r="T68" s="9">
        <f t="shared" si="6"/>
        <v>1376000</v>
      </c>
      <c r="U68" s="49">
        <f t="shared" si="7"/>
        <v>1376000</v>
      </c>
      <c r="V68" s="41"/>
    </row>
    <row r="69" spans="1:22">
      <c r="A69" s="54"/>
      <c r="B69" s="288" t="s">
        <v>397</v>
      </c>
      <c r="C69" s="4"/>
      <c r="D69" s="4"/>
      <c r="E69" s="47"/>
      <c r="F69" s="4"/>
      <c r="G69" s="4"/>
      <c r="H69" s="4"/>
      <c r="I69" s="47">
        <v>2</v>
      </c>
      <c r="J69" s="48" t="s">
        <v>30</v>
      </c>
      <c r="K69" s="48" t="s">
        <v>27</v>
      </c>
      <c r="L69" s="47">
        <v>8</v>
      </c>
      <c r="M69" s="48" t="s">
        <v>31</v>
      </c>
      <c r="N69" s="48" t="s">
        <v>27</v>
      </c>
      <c r="O69" s="48" t="s">
        <v>28</v>
      </c>
      <c r="P69" s="47">
        <v>430000</v>
      </c>
      <c r="Q69" s="63"/>
      <c r="R69" s="9"/>
      <c r="S69" s="9"/>
      <c r="T69" s="9">
        <f t="shared" si="6"/>
        <v>6880000</v>
      </c>
      <c r="U69" s="49">
        <f t="shared" si="7"/>
        <v>6880000</v>
      </c>
      <c r="V69" s="41"/>
    </row>
    <row r="70" spans="1:22">
      <c r="A70" s="54"/>
      <c r="B70" s="288" t="s">
        <v>393</v>
      </c>
      <c r="C70" s="4"/>
      <c r="D70" s="4"/>
      <c r="E70" s="47"/>
      <c r="F70" s="4"/>
      <c r="G70" s="4"/>
      <c r="H70" s="4"/>
      <c r="I70" s="47">
        <v>2</v>
      </c>
      <c r="J70" s="48" t="s">
        <v>30</v>
      </c>
      <c r="K70" s="48" t="s">
        <v>27</v>
      </c>
      <c r="L70" s="47">
        <v>7</v>
      </c>
      <c r="M70" s="48" t="s">
        <v>31</v>
      </c>
      <c r="N70" s="48" t="s">
        <v>27</v>
      </c>
      <c r="O70" s="48" t="s">
        <v>28</v>
      </c>
      <c r="P70" s="47">
        <v>300000</v>
      </c>
      <c r="Q70" s="63"/>
      <c r="R70" s="9"/>
      <c r="S70" s="9"/>
      <c r="T70" s="9">
        <f t="shared" si="6"/>
        <v>4200000</v>
      </c>
      <c r="U70" s="49">
        <f t="shared" si="7"/>
        <v>4200000</v>
      </c>
      <c r="V70" s="41"/>
    </row>
    <row r="71" spans="1:22">
      <c r="A71" s="54"/>
      <c r="B71" s="288"/>
      <c r="C71" s="4"/>
      <c r="D71" s="4"/>
      <c r="E71" s="47"/>
      <c r="F71" s="4"/>
      <c r="G71" s="4"/>
      <c r="H71" s="4"/>
      <c r="I71" s="47"/>
      <c r="J71" s="48"/>
      <c r="K71" s="48"/>
      <c r="L71" s="47"/>
      <c r="M71" s="48"/>
      <c r="N71" s="48"/>
      <c r="O71" s="48"/>
      <c r="P71" s="47"/>
      <c r="Q71" s="63"/>
      <c r="R71" s="9"/>
      <c r="S71" s="9"/>
      <c r="T71" s="9"/>
      <c r="U71" s="49"/>
      <c r="V71" s="41"/>
    </row>
    <row r="72" spans="1:22">
      <c r="A72" s="54">
        <v>2</v>
      </c>
      <c r="B72" s="122" t="s">
        <v>484</v>
      </c>
      <c r="C72" s="4"/>
      <c r="D72" s="4"/>
      <c r="E72" s="47"/>
      <c r="F72" s="4"/>
      <c r="G72" s="4"/>
      <c r="H72" s="4"/>
      <c r="I72" s="47"/>
      <c r="J72" s="48"/>
      <c r="K72" s="48"/>
      <c r="L72" s="47"/>
      <c r="M72" s="48"/>
      <c r="N72" s="48"/>
      <c r="O72" s="48"/>
      <c r="P72" s="47"/>
      <c r="Q72" s="63"/>
      <c r="R72" s="9"/>
      <c r="S72" s="9"/>
      <c r="T72" s="9"/>
      <c r="U72" s="49"/>
      <c r="V72" s="41"/>
    </row>
    <row r="73" spans="1:22" s="324" customFormat="1">
      <c r="A73" s="66" t="s">
        <v>195</v>
      </c>
      <c r="B73" s="3" t="s">
        <v>479</v>
      </c>
      <c r="C73" s="67"/>
      <c r="D73" s="67"/>
      <c r="E73" s="68"/>
      <c r="F73" s="198"/>
      <c r="G73" s="287"/>
      <c r="H73" s="67"/>
      <c r="I73" s="68"/>
      <c r="J73" s="69"/>
      <c r="K73" s="69"/>
      <c r="L73" s="68"/>
      <c r="M73" s="69"/>
      <c r="N73" s="69"/>
      <c r="O73" s="69"/>
      <c r="P73" s="68"/>
      <c r="Q73" s="70"/>
      <c r="R73" s="70"/>
      <c r="S73" s="70"/>
      <c r="T73" s="71"/>
      <c r="U73" s="71"/>
      <c r="V73" s="375">
        <f>SUM(U75:U93)</f>
        <v>133339000</v>
      </c>
    </row>
    <row r="74" spans="1:22" s="16" customFormat="1">
      <c r="A74" s="79"/>
      <c r="B74" s="55" t="s">
        <v>42</v>
      </c>
      <c r="C74" s="46"/>
      <c r="D74" s="4"/>
      <c r="E74" s="4"/>
      <c r="F74" s="182"/>
      <c r="G74" s="286"/>
      <c r="H74" s="52"/>
      <c r="I74" s="52"/>
      <c r="J74" s="4"/>
      <c r="K74" s="52"/>
      <c r="L74" s="52"/>
      <c r="M74" s="52"/>
      <c r="N74" s="4"/>
      <c r="O74" s="80"/>
      <c r="P74" s="81"/>
      <c r="Q74" s="65"/>
      <c r="R74" s="65"/>
      <c r="S74" s="65"/>
      <c r="T74" s="65"/>
      <c r="U74" s="65"/>
    </row>
    <row r="75" spans="1:22" s="16" customFormat="1">
      <c r="A75" s="79"/>
      <c r="B75" s="360" t="s">
        <v>32</v>
      </c>
      <c r="C75" s="4"/>
      <c r="D75" s="4"/>
      <c r="E75" s="4"/>
      <c r="F75" s="183">
        <v>587003000</v>
      </c>
      <c r="G75" s="286"/>
      <c r="H75" s="52"/>
      <c r="I75" s="82"/>
      <c r="J75" s="82"/>
      <c r="K75" s="82"/>
      <c r="L75" s="47">
        <v>1</v>
      </c>
      <c r="M75" s="48" t="s">
        <v>26</v>
      </c>
      <c r="N75" s="48" t="s">
        <v>27</v>
      </c>
      <c r="O75" s="48" t="s">
        <v>28</v>
      </c>
      <c r="P75" s="47">
        <v>200000</v>
      </c>
      <c r="Q75" s="63">
        <f>SUM(L75*P75)</f>
        <v>200000</v>
      </c>
      <c r="R75" s="63"/>
      <c r="S75" s="63"/>
      <c r="T75" s="63"/>
      <c r="U75" s="49">
        <f t="shared" ref="U75:U93" si="8">SUM(Q75:T75)</f>
        <v>200000</v>
      </c>
    </row>
    <row r="76" spans="1:22" s="16" customFormat="1">
      <c r="A76" s="79"/>
      <c r="B76" s="360" t="s">
        <v>44</v>
      </c>
      <c r="C76" s="4"/>
      <c r="D76" s="4"/>
      <c r="E76" s="4"/>
      <c r="F76" s="183"/>
      <c r="G76" s="286"/>
      <c r="H76" s="52"/>
      <c r="I76" s="47">
        <v>6</v>
      </c>
      <c r="J76" s="48" t="s">
        <v>30</v>
      </c>
      <c r="K76" s="48" t="s">
        <v>27</v>
      </c>
      <c r="L76" s="47">
        <v>2</v>
      </c>
      <c r="M76" s="48" t="s">
        <v>26</v>
      </c>
      <c r="N76" s="48" t="s">
        <v>27</v>
      </c>
      <c r="O76" s="48" t="s">
        <v>28</v>
      </c>
      <c r="P76" s="47">
        <v>50000</v>
      </c>
      <c r="Q76" s="63">
        <f>SUM(I76*L76*P76)</f>
        <v>600000</v>
      </c>
      <c r="R76" s="63"/>
      <c r="S76" s="63"/>
      <c r="T76" s="63"/>
      <c r="U76" s="49">
        <f t="shared" si="8"/>
        <v>600000</v>
      </c>
    </row>
    <row r="77" spans="1:22" s="16" customFormat="1">
      <c r="A77" s="79"/>
      <c r="B77" s="55" t="s">
        <v>172</v>
      </c>
      <c r="C77" s="4"/>
      <c r="D77" s="4"/>
      <c r="E77" s="4"/>
      <c r="F77" s="184"/>
      <c r="G77" s="286"/>
      <c r="H77" s="82"/>
      <c r="I77" s="82"/>
      <c r="J77" s="82"/>
      <c r="K77" s="82"/>
      <c r="L77" s="47"/>
      <c r="M77" s="48"/>
      <c r="N77" s="48"/>
      <c r="O77" s="48"/>
      <c r="P77" s="47"/>
      <c r="Q77" s="63"/>
      <c r="R77" s="63"/>
      <c r="S77" s="63"/>
      <c r="T77" s="63"/>
      <c r="U77" s="49">
        <f t="shared" si="8"/>
        <v>0</v>
      </c>
    </row>
    <row r="78" spans="1:22" s="16" customFormat="1">
      <c r="A78" s="79"/>
      <c r="B78" s="360" t="s">
        <v>56</v>
      </c>
      <c r="C78" s="4"/>
      <c r="D78" s="4"/>
      <c r="E78" s="4"/>
      <c r="F78" s="184"/>
      <c r="G78" s="286"/>
      <c r="H78" s="82"/>
      <c r="I78" s="47">
        <v>6</v>
      </c>
      <c r="J78" s="48" t="s">
        <v>30</v>
      </c>
      <c r="K78" s="48" t="s">
        <v>27</v>
      </c>
      <c r="L78" s="47">
        <v>1</v>
      </c>
      <c r="M78" s="48" t="s">
        <v>26</v>
      </c>
      <c r="N78" s="48" t="s">
        <v>27</v>
      </c>
      <c r="O78" s="48" t="s">
        <v>28</v>
      </c>
      <c r="P78" s="47">
        <v>5200000</v>
      </c>
      <c r="Q78" s="63"/>
      <c r="R78" s="49">
        <f t="shared" ref="R78:R83" si="9">P78*L78*I78</f>
        <v>31200000</v>
      </c>
      <c r="S78" s="49"/>
      <c r="T78" s="63"/>
      <c r="U78" s="49">
        <f t="shared" si="8"/>
        <v>31200000</v>
      </c>
      <c r="V78" s="41">
        <f>SUM(U78:U83)</f>
        <v>96660000</v>
      </c>
    </row>
    <row r="79" spans="1:22" s="16" customFormat="1">
      <c r="A79" s="79"/>
      <c r="B79" s="360" t="s">
        <v>361</v>
      </c>
      <c r="C79" s="4"/>
      <c r="D79" s="4"/>
      <c r="E79" s="4"/>
      <c r="F79" s="184"/>
      <c r="G79" s="286"/>
      <c r="H79" s="82"/>
      <c r="I79" s="47">
        <v>6</v>
      </c>
      <c r="J79" s="48" t="s">
        <v>30</v>
      </c>
      <c r="K79" s="48" t="s">
        <v>27</v>
      </c>
      <c r="L79" s="47">
        <v>1</v>
      </c>
      <c r="M79" s="48" t="s">
        <v>26</v>
      </c>
      <c r="N79" s="48" t="s">
        <v>27</v>
      </c>
      <c r="O79" s="48" t="s">
        <v>28</v>
      </c>
      <c r="P79" s="47">
        <v>1000000</v>
      </c>
      <c r="Q79" s="63"/>
      <c r="R79" s="49">
        <f t="shared" si="9"/>
        <v>6000000</v>
      </c>
      <c r="S79" s="49"/>
      <c r="T79" s="63"/>
      <c r="U79" s="49">
        <f t="shared" si="8"/>
        <v>6000000</v>
      </c>
    </row>
    <row r="80" spans="1:22" s="16" customFormat="1">
      <c r="A80" s="79"/>
      <c r="B80" s="360" t="s">
        <v>362</v>
      </c>
      <c r="C80" s="4"/>
      <c r="D80" s="4"/>
      <c r="E80" s="4"/>
      <c r="F80" s="184"/>
      <c r="G80" s="286"/>
      <c r="H80" s="82"/>
      <c r="I80" s="47">
        <v>6</v>
      </c>
      <c r="J80" s="48" t="s">
        <v>30</v>
      </c>
      <c r="K80" s="48" t="s">
        <v>27</v>
      </c>
      <c r="L80" s="47">
        <v>1</v>
      </c>
      <c r="M80" s="48" t="s">
        <v>26</v>
      </c>
      <c r="N80" s="48" t="s">
        <v>27</v>
      </c>
      <c r="O80" s="48" t="s">
        <v>28</v>
      </c>
      <c r="P80" s="47">
        <f>174000+171000</f>
        <v>345000</v>
      </c>
      <c r="Q80" s="63"/>
      <c r="R80" s="49">
        <f t="shared" si="9"/>
        <v>2070000</v>
      </c>
      <c r="S80" s="49"/>
      <c r="T80" s="63"/>
      <c r="U80" s="49">
        <f t="shared" si="8"/>
        <v>2070000</v>
      </c>
    </row>
    <row r="81" spans="1:22" s="16" customFormat="1">
      <c r="A81" s="79"/>
      <c r="B81" s="360" t="s">
        <v>480</v>
      </c>
      <c r="C81" s="4"/>
      <c r="D81" s="4"/>
      <c r="E81" s="4"/>
      <c r="F81" s="184"/>
      <c r="G81" s="286"/>
      <c r="H81" s="82"/>
      <c r="I81" s="47">
        <v>6</v>
      </c>
      <c r="J81" s="48" t="s">
        <v>30</v>
      </c>
      <c r="K81" s="48" t="s">
        <v>27</v>
      </c>
      <c r="L81" s="47">
        <v>1</v>
      </c>
      <c r="M81" s="48" t="s">
        <v>26</v>
      </c>
      <c r="N81" s="48" t="s">
        <v>27</v>
      </c>
      <c r="O81" s="48" t="s">
        <v>28</v>
      </c>
      <c r="P81" s="47">
        <f>174000+171000</f>
        <v>345000</v>
      </c>
      <c r="Q81" s="63"/>
      <c r="R81" s="49">
        <f t="shared" si="9"/>
        <v>2070000</v>
      </c>
      <c r="S81" s="49"/>
      <c r="T81" s="63"/>
      <c r="U81" s="49">
        <f t="shared" si="8"/>
        <v>2070000</v>
      </c>
    </row>
    <row r="82" spans="1:22" s="16" customFormat="1">
      <c r="A82" s="79"/>
      <c r="B82" s="360" t="s">
        <v>53</v>
      </c>
      <c r="C82" s="4"/>
      <c r="D82" s="4"/>
      <c r="E82" s="4"/>
      <c r="F82" s="184"/>
      <c r="G82" s="286"/>
      <c r="H82" s="82"/>
      <c r="I82" s="47">
        <v>6</v>
      </c>
      <c r="J82" s="48" t="s">
        <v>30</v>
      </c>
      <c r="K82" s="48" t="s">
        <v>27</v>
      </c>
      <c r="L82" s="47">
        <v>14</v>
      </c>
      <c r="M82" s="48" t="s">
        <v>31</v>
      </c>
      <c r="N82" s="48" t="s">
        <v>27</v>
      </c>
      <c r="O82" s="48" t="s">
        <v>28</v>
      </c>
      <c r="P82" s="47">
        <v>380000</v>
      </c>
      <c r="Q82" s="63"/>
      <c r="R82" s="49">
        <f t="shared" si="9"/>
        <v>31920000</v>
      </c>
      <c r="S82" s="49"/>
      <c r="T82" s="63"/>
      <c r="U82" s="49">
        <f t="shared" si="8"/>
        <v>31920000</v>
      </c>
    </row>
    <row r="83" spans="1:22" s="16" customFormat="1">
      <c r="A83" s="79"/>
      <c r="B83" s="360" t="s">
        <v>481</v>
      </c>
      <c r="C83" s="4"/>
      <c r="D83" s="4"/>
      <c r="E83" s="4"/>
      <c r="F83" s="184"/>
      <c r="G83" s="286"/>
      <c r="H83" s="82"/>
      <c r="I83" s="47">
        <v>6</v>
      </c>
      <c r="J83" s="48" t="s">
        <v>30</v>
      </c>
      <c r="K83" s="48" t="s">
        <v>27</v>
      </c>
      <c r="L83" s="47">
        <v>13</v>
      </c>
      <c r="M83" s="48" t="s">
        <v>31</v>
      </c>
      <c r="N83" s="48" t="s">
        <v>27</v>
      </c>
      <c r="O83" s="48" t="s">
        <v>28</v>
      </c>
      <c r="P83" s="47">
        <v>300000</v>
      </c>
      <c r="Q83" s="63"/>
      <c r="R83" s="49">
        <f t="shared" si="9"/>
        <v>23400000</v>
      </c>
      <c r="S83" s="49"/>
      <c r="T83" s="63"/>
      <c r="U83" s="49">
        <f t="shared" si="8"/>
        <v>23400000</v>
      </c>
    </row>
    <row r="84" spans="1:22">
      <c r="A84" s="54"/>
      <c r="B84" s="122" t="s">
        <v>632</v>
      </c>
      <c r="C84" s="4"/>
      <c r="D84" s="4"/>
      <c r="E84" s="47"/>
      <c r="F84" s="4"/>
      <c r="G84" s="4"/>
      <c r="H84" s="4"/>
      <c r="I84" s="47"/>
      <c r="J84" s="48"/>
      <c r="K84" s="48"/>
      <c r="L84" s="47"/>
      <c r="M84" s="48"/>
      <c r="N84" s="48"/>
      <c r="O84" s="48"/>
      <c r="P84" s="47"/>
      <c r="Q84" s="63"/>
      <c r="R84" s="9"/>
      <c r="S84" s="9"/>
      <c r="T84" s="9"/>
      <c r="U84" s="49"/>
      <c r="V84" s="41"/>
    </row>
    <row r="85" spans="1:22">
      <c r="A85" s="54"/>
      <c r="B85" s="55" t="s">
        <v>482</v>
      </c>
      <c r="C85" s="56"/>
      <c r="D85" s="4"/>
      <c r="E85" s="47"/>
      <c r="F85" s="182"/>
      <c r="G85" s="4"/>
      <c r="H85" s="4"/>
      <c r="I85" s="47"/>
      <c r="J85" s="48"/>
      <c r="K85" s="48"/>
      <c r="L85" s="47"/>
      <c r="M85" s="48"/>
      <c r="N85" s="48"/>
      <c r="O85" s="48"/>
      <c r="P85" s="57"/>
      <c r="Q85" s="49"/>
      <c r="R85" s="49"/>
      <c r="S85" s="49"/>
      <c r="T85" s="49"/>
      <c r="U85" s="49">
        <f t="shared" si="8"/>
        <v>0</v>
      </c>
      <c r="V85" s="29"/>
    </row>
    <row r="86" spans="1:22">
      <c r="A86" s="54"/>
      <c r="B86" s="360" t="s">
        <v>631</v>
      </c>
      <c r="C86" s="4"/>
      <c r="D86" s="4"/>
      <c r="E86" s="47"/>
      <c r="F86" s="182"/>
      <c r="G86" s="4"/>
      <c r="H86" s="4"/>
      <c r="I86" s="47">
        <v>2</v>
      </c>
      <c r="J86" s="48" t="s">
        <v>30</v>
      </c>
      <c r="K86" s="48" t="s">
        <v>27</v>
      </c>
      <c r="L86" s="47">
        <v>1</v>
      </c>
      <c r="M86" s="48" t="s">
        <v>26</v>
      </c>
      <c r="N86" s="48" t="s">
        <v>27</v>
      </c>
      <c r="O86" s="48" t="s">
        <v>28</v>
      </c>
      <c r="P86" s="47">
        <v>6995500</v>
      </c>
      <c r="Q86" s="63"/>
      <c r="R86" s="49">
        <f>P86*L86*I86</f>
        <v>13991000</v>
      </c>
      <c r="S86" s="49"/>
      <c r="T86" s="49"/>
      <c r="U86" s="49">
        <f t="shared" si="8"/>
        <v>13991000</v>
      </c>
      <c r="V86" s="41">
        <f>SUM(U86:U89)</f>
        <v>24879000</v>
      </c>
    </row>
    <row r="87" spans="1:22" s="16" customFormat="1">
      <c r="A87" s="79"/>
      <c r="B87" s="360" t="s">
        <v>259</v>
      </c>
      <c r="C87" s="4"/>
      <c r="D87" s="4"/>
      <c r="E87" s="4"/>
      <c r="F87" s="184"/>
      <c r="G87" s="286"/>
      <c r="H87" s="82"/>
      <c r="I87" s="47">
        <v>2</v>
      </c>
      <c r="J87" s="48" t="s">
        <v>30</v>
      </c>
      <c r="K87" s="48" t="s">
        <v>27</v>
      </c>
      <c r="L87" s="47">
        <v>1</v>
      </c>
      <c r="M87" s="48" t="s">
        <v>26</v>
      </c>
      <c r="N87" s="48" t="s">
        <v>27</v>
      </c>
      <c r="O87" s="48" t="s">
        <v>28</v>
      </c>
      <c r="P87" s="47">
        <f>174000+130000</f>
        <v>304000</v>
      </c>
      <c r="Q87" s="63"/>
      <c r="R87" s="49">
        <f t="shared" ref="R87" si="10">P87*L87*I87</f>
        <v>608000</v>
      </c>
      <c r="S87" s="49"/>
      <c r="T87" s="63"/>
      <c r="U87" s="49">
        <f t="shared" si="8"/>
        <v>608000</v>
      </c>
    </row>
    <row r="88" spans="1:22">
      <c r="A88" s="54"/>
      <c r="B88" s="360" t="s">
        <v>53</v>
      </c>
      <c r="C88" s="4"/>
      <c r="D88" s="4"/>
      <c r="E88" s="47"/>
      <c r="F88" s="182"/>
      <c r="G88" s="4"/>
      <c r="H88" s="4"/>
      <c r="I88" s="47">
        <v>2</v>
      </c>
      <c r="J88" s="48" t="s">
        <v>30</v>
      </c>
      <c r="K88" s="48" t="s">
        <v>27</v>
      </c>
      <c r="L88" s="47">
        <v>8</v>
      </c>
      <c r="M88" s="48" t="s">
        <v>31</v>
      </c>
      <c r="N88" s="48" t="s">
        <v>27</v>
      </c>
      <c r="O88" s="48" t="s">
        <v>28</v>
      </c>
      <c r="P88" s="47">
        <v>380000</v>
      </c>
      <c r="Q88" s="63"/>
      <c r="R88" s="49">
        <f>P88*L88*I88</f>
        <v>6080000</v>
      </c>
      <c r="S88" s="49"/>
      <c r="T88" s="49"/>
      <c r="U88" s="49">
        <f t="shared" si="8"/>
        <v>6080000</v>
      </c>
      <c r="V88" s="29"/>
    </row>
    <row r="89" spans="1:22">
      <c r="A89" s="54"/>
      <c r="B89" s="360" t="s">
        <v>419</v>
      </c>
      <c r="C89" s="4"/>
      <c r="D89" s="4"/>
      <c r="E89" s="47"/>
      <c r="F89" s="182"/>
      <c r="G89" s="4"/>
      <c r="H89" s="4"/>
      <c r="I89" s="47">
        <v>2</v>
      </c>
      <c r="J89" s="48" t="s">
        <v>30</v>
      </c>
      <c r="K89" s="48" t="s">
        <v>27</v>
      </c>
      <c r="L89" s="47">
        <v>7</v>
      </c>
      <c r="M89" s="48" t="s">
        <v>31</v>
      </c>
      <c r="N89" s="48" t="s">
        <v>27</v>
      </c>
      <c r="O89" s="48" t="s">
        <v>28</v>
      </c>
      <c r="P89" s="47">
        <v>300000</v>
      </c>
      <c r="Q89" s="63"/>
      <c r="R89" s="49">
        <f>P89*L89*I89</f>
        <v>4200000</v>
      </c>
      <c r="S89" s="49"/>
      <c r="T89" s="49"/>
      <c r="U89" s="49">
        <f t="shared" si="8"/>
        <v>4200000</v>
      </c>
      <c r="V89" s="29"/>
    </row>
    <row r="90" spans="1:22">
      <c r="A90" s="54"/>
      <c r="B90" s="360"/>
      <c r="C90" s="4"/>
      <c r="D90" s="4"/>
      <c r="E90" s="47"/>
      <c r="F90" s="182"/>
      <c r="G90" s="4"/>
      <c r="H90" s="4"/>
      <c r="I90" s="47"/>
      <c r="J90" s="48"/>
      <c r="K90" s="48"/>
      <c r="L90" s="47"/>
      <c r="M90" s="48"/>
      <c r="N90" s="48"/>
      <c r="O90" s="48"/>
      <c r="P90" s="47"/>
      <c r="Q90" s="63"/>
      <c r="R90" s="49"/>
      <c r="S90" s="49"/>
      <c r="T90" s="49"/>
      <c r="U90" s="49"/>
      <c r="V90" s="29"/>
    </row>
    <row r="91" spans="1:22" s="16" customFormat="1">
      <c r="A91" s="79"/>
      <c r="B91" s="55" t="s">
        <v>85</v>
      </c>
      <c r="C91" s="4"/>
      <c r="D91" s="4"/>
      <c r="E91" s="4"/>
      <c r="F91" s="184"/>
      <c r="G91" s="286"/>
      <c r="H91" s="82"/>
      <c r="I91" s="47"/>
      <c r="J91" s="48"/>
      <c r="K91" s="48"/>
      <c r="L91" s="47"/>
      <c r="M91" s="48"/>
      <c r="N91" s="48"/>
      <c r="O91" s="48"/>
      <c r="P91" s="47"/>
      <c r="Q91" s="63"/>
      <c r="R91" s="63"/>
      <c r="S91" s="63"/>
      <c r="T91" s="63"/>
      <c r="U91" s="49">
        <f t="shared" si="8"/>
        <v>0</v>
      </c>
    </row>
    <row r="92" spans="1:22" s="16" customFormat="1">
      <c r="A92" s="79"/>
      <c r="B92" s="373" t="s">
        <v>483</v>
      </c>
      <c r="C92" s="4"/>
      <c r="D92" s="4"/>
      <c r="E92" s="4"/>
      <c r="F92" s="184"/>
      <c r="G92" s="286"/>
      <c r="H92" s="82"/>
      <c r="I92" s="47"/>
      <c r="J92" s="48"/>
      <c r="K92" s="48"/>
      <c r="L92" s="47">
        <v>1</v>
      </c>
      <c r="M92" s="48" t="s">
        <v>200</v>
      </c>
      <c r="N92" s="48" t="s">
        <v>27</v>
      </c>
      <c r="O92" s="48" t="s">
        <v>28</v>
      </c>
      <c r="P92" s="47">
        <v>10000000</v>
      </c>
      <c r="Q92" s="63"/>
      <c r="R92" s="63"/>
      <c r="S92" s="96"/>
      <c r="T92" s="96">
        <f>P92*L92</f>
        <v>10000000</v>
      </c>
      <c r="U92" s="49">
        <f t="shared" si="8"/>
        <v>10000000</v>
      </c>
    </row>
    <row r="93" spans="1:22" s="16" customFormat="1">
      <c r="A93" s="79"/>
      <c r="B93" s="373" t="s">
        <v>486</v>
      </c>
      <c r="C93" s="4"/>
      <c r="D93" s="4"/>
      <c r="E93" s="4"/>
      <c r="F93" s="184"/>
      <c r="G93" s="286"/>
      <c r="H93" s="82"/>
      <c r="I93" s="47"/>
      <c r="J93" s="48"/>
      <c r="K93" s="48"/>
      <c r="L93" s="47">
        <v>1</v>
      </c>
      <c r="M93" s="48" t="s">
        <v>200</v>
      </c>
      <c r="N93" s="48" t="s">
        <v>27</v>
      </c>
      <c r="O93" s="48" t="s">
        <v>28</v>
      </c>
      <c r="P93" s="47">
        <v>1000000</v>
      </c>
      <c r="Q93" s="63"/>
      <c r="R93" s="65"/>
      <c r="S93" s="96"/>
      <c r="T93" s="96">
        <f>P93*L93</f>
        <v>1000000</v>
      </c>
      <c r="U93" s="49">
        <f t="shared" si="8"/>
        <v>1000000</v>
      </c>
    </row>
    <row r="94" spans="1:22">
      <c r="A94" s="54"/>
      <c r="B94" s="10"/>
      <c r="C94" s="10"/>
      <c r="D94" s="10"/>
      <c r="E94" s="77"/>
      <c r="F94" s="185" t="e">
        <f>SUM(#REF!)</f>
        <v>#REF!</v>
      </c>
      <c r="G94" s="77"/>
      <c r="H94" s="11"/>
      <c r="I94" s="77"/>
      <c r="J94" s="11"/>
      <c r="K94" s="11"/>
      <c r="L94" s="77"/>
      <c r="M94" s="11"/>
      <c r="N94" s="11"/>
      <c r="O94" s="11"/>
      <c r="P94" s="77"/>
      <c r="Q94" s="63"/>
      <c r="R94" s="65"/>
      <c r="S94" s="65"/>
      <c r="T94" s="65"/>
      <c r="U94" s="49">
        <f>SUM(Q94:T94)</f>
        <v>0</v>
      </c>
      <c r="V94" s="29">
        <v>439652000</v>
      </c>
    </row>
    <row r="95" spans="1:22" s="87" customFormat="1" ht="13.8" thickBot="1">
      <c r="A95" s="84"/>
      <c r="B95" s="484" t="s">
        <v>33</v>
      </c>
      <c r="C95" s="485"/>
      <c r="D95" s="485"/>
      <c r="E95" s="485"/>
      <c r="F95" s="485"/>
      <c r="G95" s="485"/>
      <c r="H95" s="485"/>
      <c r="I95" s="485"/>
      <c r="J95" s="485"/>
      <c r="K95" s="485"/>
      <c r="L95" s="485"/>
      <c r="M95" s="485"/>
      <c r="N95" s="485"/>
      <c r="O95" s="485"/>
      <c r="P95" s="485"/>
      <c r="Q95" s="85">
        <f>SUM(Q19:Q70)</f>
        <v>1500000</v>
      </c>
      <c r="R95" s="85">
        <f>SUM(R18:R94)</f>
        <v>121539000</v>
      </c>
      <c r="S95" s="85">
        <f>SUM(S18:S94)</f>
        <v>0</v>
      </c>
      <c r="T95" s="85">
        <f>SUM(T18:T70)</f>
        <v>257284000</v>
      </c>
      <c r="U95" s="85">
        <f>SUM(U19:U93)</f>
        <v>392123000</v>
      </c>
      <c r="V95" s="87">
        <f>V94-U95</f>
        <v>47529000</v>
      </c>
    </row>
    <row r="96" spans="1:22" ht="13.8" thickTop="1">
      <c r="A96" s="88"/>
      <c r="V96" s="29"/>
    </row>
    <row r="97" spans="2:22" s="15" customFormat="1" ht="13.8">
      <c r="B97" s="12"/>
      <c r="F97" s="201"/>
      <c r="G97" s="90"/>
      <c r="I97" s="90"/>
      <c r="J97" s="90"/>
      <c r="L97" s="90"/>
      <c r="M97" s="90"/>
      <c r="N97" s="90"/>
      <c r="P97" s="20"/>
      <c r="Q97" s="20"/>
      <c r="S97" s="20" t="s">
        <v>633</v>
      </c>
      <c r="T97" s="12"/>
      <c r="V97" s="15">
        <f>V95/4</f>
        <v>11882250</v>
      </c>
    </row>
    <row r="98" spans="2:22" s="15" customFormat="1" ht="13.8">
      <c r="B98" s="12"/>
      <c r="F98" s="201"/>
      <c r="G98" s="90"/>
      <c r="I98" s="90"/>
      <c r="J98" s="90"/>
      <c r="L98" s="90"/>
      <c r="M98" s="90"/>
      <c r="N98" s="90"/>
      <c r="P98" s="20"/>
      <c r="Q98" s="20"/>
      <c r="S98" s="20" t="s">
        <v>176</v>
      </c>
      <c r="T98" s="12"/>
      <c r="V98" s="14"/>
    </row>
    <row r="99" spans="2:22" s="15" customFormat="1" ht="13.8">
      <c r="B99" s="12"/>
      <c r="F99" s="201"/>
      <c r="G99" s="90"/>
      <c r="I99" s="90"/>
      <c r="J99" s="90"/>
      <c r="L99" s="90"/>
      <c r="M99" s="90"/>
      <c r="N99" s="90"/>
      <c r="P99" s="20"/>
      <c r="Q99" s="20"/>
      <c r="S99" s="20" t="s">
        <v>177</v>
      </c>
      <c r="T99" s="12"/>
      <c r="V99" s="14"/>
    </row>
    <row r="100" spans="2:22" s="15" customFormat="1" ht="13.8">
      <c r="B100" s="12"/>
      <c r="F100" s="201"/>
      <c r="G100" s="90"/>
      <c r="I100" s="90"/>
      <c r="J100" s="90"/>
      <c r="L100" s="90"/>
      <c r="M100" s="90"/>
      <c r="N100" s="90"/>
      <c r="P100" s="20"/>
      <c r="Q100" s="20"/>
      <c r="S100" s="20"/>
      <c r="T100" s="12"/>
      <c r="V100" s="14">
        <f>P86+V97</f>
        <v>18877750</v>
      </c>
    </row>
    <row r="101" spans="2:22" s="15" customFormat="1" ht="13.8">
      <c r="B101" s="12"/>
      <c r="F101" s="201"/>
      <c r="G101" s="90"/>
      <c r="I101" s="90"/>
      <c r="J101" s="90"/>
      <c r="L101" s="90"/>
      <c r="M101" s="90"/>
      <c r="N101" s="90"/>
      <c r="P101" s="20"/>
      <c r="Q101" s="20"/>
      <c r="S101" s="20"/>
      <c r="T101" s="12"/>
      <c r="V101" s="14"/>
    </row>
    <row r="102" spans="2:22" s="15" customFormat="1" ht="13.8">
      <c r="B102" s="12"/>
      <c r="F102" s="201"/>
      <c r="G102" s="90"/>
      <c r="I102" s="90"/>
      <c r="J102" s="90"/>
      <c r="L102" s="90"/>
      <c r="M102" s="90"/>
      <c r="N102" s="90"/>
      <c r="P102" s="20"/>
      <c r="Q102" s="20"/>
      <c r="S102" s="20"/>
      <c r="T102" s="12"/>
      <c r="V102" s="14"/>
    </row>
    <row r="103" spans="2:22" s="15" customFormat="1" ht="13.8">
      <c r="B103" s="12"/>
      <c r="F103" s="201"/>
      <c r="G103" s="90"/>
      <c r="I103" s="90"/>
      <c r="J103" s="90"/>
      <c r="L103" s="90"/>
      <c r="M103" s="90"/>
      <c r="N103" s="90"/>
      <c r="P103" s="20"/>
      <c r="Q103" s="20"/>
      <c r="S103" s="20" t="s">
        <v>187</v>
      </c>
      <c r="T103" s="12"/>
      <c r="V103" s="14"/>
    </row>
    <row r="104" spans="2:22" s="15" customFormat="1" ht="13.8">
      <c r="B104" s="12"/>
      <c r="F104" s="201"/>
      <c r="G104" s="90"/>
      <c r="I104" s="90"/>
      <c r="J104" s="90"/>
      <c r="L104" s="90"/>
      <c r="M104" s="90"/>
      <c r="N104" s="90"/>
      <c r="P104" s="20"/>
      <c r="Q104" s="20"/>
      <c r="S104" s="20" t="s">
        <v>174</v>
      </c>
      <c r="T104" s="12"/>
      <c r="V104" s="14"/>
    </row>
    <row r="105" spans="2:22" s="15" customFormat="1">
      <c r="F105" s="202"/>
      <c r="G105" s="90"/>
      <c r="H105" s="90"/>
      <c r="J105" s="90"/>
      <c r="K105" s="90"/>
      <c r="M105" s="90"/>
      <c r="N105" s="90"/>
      <c r="O105" s="90"/>
      <c r="Q105" s="20"/>
      <c r="R105" s="20"/>
      <c r="S105" s="20"/>
      <c r="T105" s="20"/>
      <c r="U105" s="20"/>
      <c r="V105" s="14"/>
    </row>
  </sheetData>
  <mergeCells count="10">
    <mergeCell ref="B17:P17"/>
    <mergeCell ref="B95:P95"/>
    <mergeCell ref="A1:U1"/>
    <mergeCell ref="E12:H12"/>
    <mergeCell ref="A14:A16"/>
    <mergeCell ref="B14:P14"/>
    <mergeCell ref="Q14:T14"/>
    <mergeCell ref="U14:U16"/>
    <mergeCell ref="B15:P15"/>
    <mergeCell ref="B16:P16"/>
  </mergeCells>
  <printOptions horizontalCentered="1"/>
  <pageMargins left="0.45" right="0.45" top="1" bottom="0.75" header="0.3" footer="0.3"/>
  <pageSetup paperSize="9" scale="68" fitToHeight="5" orientation="landscape" horizontalDpi="4294967293" verticalDpi="4294967293" r:id="rId1"/>
  <headerFooter>
    <oddFooter>&amp;L&amp;"-,Italic"Naskah hasil kajian pelestarian cagar budaya&amp;R&amp;P</oddFooter>
  </headerFooter>
  <rowBreaks count="2" manualBreakCount="2">
    <brk id="41" max="20" man="1"/>
    <brk id="76" max="20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W229"/>
  <sheetViews>
    <sheetView tabSelected="1" view="pageBreakPreview" topLeftCell="A22" zoomScale="75" zoomScaleSheetLayoutView="75" workbookViewId="0">
      <selection activeCell="P26" sqref="P26"/>
    </sheetView>
  </sheetViews>
  <sheetFormatPr defaultColWidth="8.88671875" defaultRowHeight="13.2"/>
  <cols>
    <col min="1" max="1" width="8.88671875" style="29"/>
    <col min="2" max="2" width="21.6640625" style="29" customWidth="1"/>
    <col min="3" max="3" width="3.109375" style="29" customWidth="1"/>
    <col min="4" max="4" width="4.6640625" style="29" customWidth="1"/>
    <col min="5" max="5" width="8.88671875" style="29"/>
    <col min="6" max="6" width="6" style="89" customWidth="1"/>
    <col min="7" max="7" width="8.88671875" style="89"/>
    <col min="8" max="8" width="6.88671875" style="29" bestFit="1" customWidth="1"/>
    <col min="9" max="9" width="4.6640625" style="89" bestFit="1" customWidth="1"/>
    <col min="10" max="10" width="3" style="89" bestFit="1" customWidth="1"/>
    <col min="11" max="11" width="6.109375" style="29" bestFit="1" customWidth="1"/>
    <col min="12" max="12" width="5.44140625" style="89" bestFit="1" customWidth="1"/>
    <col min="13" max="13" width="3.33203125" style="89" bestFit="1" customWidth="1"/>
    <col min="14" max="14" width="4.5546875" style="89" bestFit="1" customWidth="1"/>
    <col min="15" max="15" width="11.44140625" style="29" bestFit="1" customWidth="1"/>
    <col min="16" max="17" width="13.33203125" style="28" customWidth="1"/>
    <col min="18" max="18" width="15.6640625" style="28" customWidth="1"/>
    <col min="19" max="19" width="12.44140625" style="28" customWidth="1"/>
    <col min="20" max="20" width="12.88671875" style="28" customWidth="1"/>
    <col min="21" max="21" width="13.33203125" style="28" bestFit="1" customWidth="1"/>
    <col min="22" max="22" width="13.44140625" style="34" bestFit="1" customWidth="1"/>
    <col min="23" max="23" width="20.33203125" style="29" customWidth="1"/>
    <col min="24" max="16384" width="8.88671875" style="29"/>
  </cols>
  <sheetData>
    <row r="1" spans="1:22" s="16" customFormat="1">
      <c r="A1" s="486" t="s">
        <v>0</v>
      </c>
      <c r="B1" s="486"/>
      <c r="C1" s="486"/>
      <c r="D1" s="486"/>
      <c r="E1" s="486"/>
      <c r="F1" s="486"/>
      <c r="G1" s="486"/>
      <c r="H1" s="486"/>
      <c r="I1" s="486"/>
      <c r="J1" s="486"/>
      <c r="K1" s="486"/>
      <c r="L1" s="486"/>
      <c r="M1" s="486"/>
      <c r="N1" s="486"/>
      <c r="O1" s="486"/>
      <c r="P1" s="486"/>
      <c r="Q1" s="486"/>
      <c r="R1" s="486"/>
      <c r="S1" s="486"/>
      <c r="T1" s="486"/>
      <c r="U1" s="486"/>
      <c r="V1" s="14"/>
    </row>
    <row r="2" spans="1:22" s="16" customFormat="1">
      <c r="A2" s="17"/>
      <c r="B2" s="17"/>
      <c r="C2" s="17"/>
      <c r="D2" s="18"/>
      <c r="E2" s="17"/>
      <c r="F2" s="17"/>
      <c r="G2" s="17"/>
      <c r="H2" s="17"/>
      <c r="I2" s="17"/>
      <c r="J2" s="17"/>
      <c r="K2" s="17"/>
      <c r="L2" s="17"/>
      <c r="M2" s="17"/>
      <c r="N2" s="19"/>
      <c r="O2" s="19"/>
      <c r="P2" s="19"/>
      <c r="Q2" s="19"/>
      <c r="R2" s="19"/>
      <c r="S2" s="19"/>
      <c r="T2" s="19"/>
      <c r="U2" s="19"/>
      <c r="V2" s="14"/>
    </row>
    <row r="3" spans="1:22" s="16" customFormat="1">
      <c r="A3" s="21" t="s">
        <v>1</v>
      </c>
      <c r="B3" s="21"/>
      <c r="C3" s="22" t="s">
        <v>2</v>
      </c>
      <c r="D3" s="1" t="s">
        <v>3</v>
      </c>
      <c r="E3" s="1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V3" s="78"/>
    </row>
    <row r="4" spans="1:22" s="16" customFormat="1">
      <c r="A4" s="21" t="s">
        <v>4</v>
      </c>
      <c r="B4" s="21"/>
      <c r="C4" s="22" t="s">
        <v>2</v>
      </c>
      <c r="D4" s="1" t="s">
        <v>34</v>
      </c>
      <c r="E4" s="1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V4" s="78"/>
    </row>
    <row r="5" spans="1:22" s="16" customFormat="1">
      <c r="A5" s="21" t="s">
        <v>5</v>
      </c>
      <c r="B5" s="21"/>
      <c r="C5" s="22" t="s">
        <v>2</v>
      </c>
      <c r="D5" s="1" t="s">
        <v>37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V5" s="78"/>
    </row>
    <row r="6" spans="1:22" s="16" customFormat="1">
      <c r="A6" s="21" t="s">
        <v>6</v>
      </c>
      <c r="B6" s="21"/>
      <c r="C6" s="22" t="s">
        <v>2</v>
      </c>
      <c r="D6" s="98" t="s">
        <v>191</v>
      </c>
      <c r="E6" s="1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V6" s="78"/>
    </row>
    <row r="7" spans="1:22" s="16" customFormat="1">
      <c r="A7" s="21" t="s">
        <v>7</v>
      </c>
      <c r="B7" s="21"/>
      <c r="C7" s="22" t="s">
        <v>2</v>
      </c>
      <c r="D7" s="1" t="s">
        <v>35</v>
      </c>
      <c r="E7" s="1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V7" s="78"/>
    </row>
    <row r="8" spans="1:22" s="16" customFormat="1">
      <c r="A8" s="21" t="s">
        <v>8</v>
      </c>
      <c r="B8" s="21"/>
      <c r="C8" s="22" t="s">
        <v>2</v>
      </c>
      <c r="D8" s="16" t="s">
        <v>182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V8" s="78"/>
    </row>
    <row r="9" spans="1:22" s="16" customFormat="1">
      <c r="A9" s="21" t="s">
        <v>9</v>
      </c>
      <c r="B9" s="21"/>
      <c r="C9" s="22" t="s">
        <v>2</v>
      </c>
      <c r="D9" s="13" t="s">
        <v>67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V9" s="78"/>
    </row>
    <row r="10" spans="1:22" s="16" customFormat="1">
      <c r="A10" s="21" t="s">
        <v>10</v>
      </c>
      <c r="B10" s="21"/>
      <c r="C10" s="22" t="s">
        <v>2</v>
      </c>
      <c r="D10" s="1" t="s">
        <v>209</v>
      </c>
      <c r="E10" s="15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V10" s="78"/>
    </row>
    <row r="11" spans="1:22" s="16" customFormat="1">
      <c r="A11" s="21" t="s">
        <v>11</v>
      </c>
      <c r="B11" s="21"/>
      <c r="C11" s="22" t="s">
        <v>2</v>
      </c>
      <c r="D11" s="206" t="s">
        <v>562</v>
      </c>
      <c r="E11" s="1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V11" s="78"/>
    </row>
    <row r="12" spans="1:22" s="16" customFormat="1">
      <c r="A12" s="22" t="s">
        <v>12</v>
      </c>
      <c r="C12" s="22" t="s">
        <v>2</v>
      </c>
      <c r="D12" s="23" t="s">
        <v>13</v>
      </c>
      <c r="E12" s="505">
        <f>U210</f>
        <v>486783000</v>
      </c>
      <c r="F12" s="505"/>
      <c r="G12" s="23"/>
      <c r="H12" s="23"/>
      <c r="I12" s="22"/>
      <c r="J12" s="22"/>
      <c r="K12" s="22"/>
      <c r="L12" s="24"/>
      <c r="M12" s="22"/>
      <c r="N12" s="25"/>
      <c r="O12" s="26"/>
      <c r="P12" s="27"/>
      <c r="Q12" s="27"/>
      <c r="R12" s="27"/>
      <c r="S12" s="27"/>
      <c r="T12" s="27"/>
      <c r="U12" s="27"/>
      <c r="V12" s="34"/>
    </row>
    <row r="13" spans="1:22" s="16" customFormat="1" ht="13.8" thickBot="1">
      <c r="A13" s="22"/>
      <c r="B13" s="30"/>
      <c r="F13" s="31"/>
      <c r="G13" s="31"/>
      <c r="H13" s="31"/>
      <c r="J13" s="31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78"/>
    </row>
    <row r="14" spans="1:22" s="16" customFormat="1" ht="13.8" thickTop="1">
      <c r="A14" s="487" t="s">
        <v>14</v>
      </c>
      <c r="B14" s="490" t="s">
        <v>15</v>
      </c>
      <c r="C14" s="491"/>
      <c r="D14" s="491"/>
      <c r="E14" s="491"/>
      <c r="F14" s="491"/>
      <c r="G14" s="491"/>
      <c r="H14" s="491"/>
      <c r="I14" s="491"/>
      <c r="J14" s="491"/>
      <c r="K14" s="491"/>
      <c r="L14" s="491"/>
      <c r="M14" s="491"/>
      <c r="N14" s="491"/>
      <c r="O14" s="492"/>
      <c r="P14" s="494" t="s">
        <v>357</v>
      </c>
      <c r="Q14" s="510"/>
      <c r="R14" s="510"/>
      <c r="S14" s="510"/>
      <c r="T14" s="510"/>
      <c r="U14" s="511" t="s">
        <v>356</v>
      </c>
      <c r="V14" s="32"/>
    </row>
    <row r="15" spans="1:22" s="16" customFormat="1" ht="39.6">
      <c r="A15" s="488"/>
      <c r="B15" s="498" t="s">
        <v>17</v>
      </c>
      <c r="C15" s="499"/>
      <c r="D15" s="499"/>
      <c r="E15" s="499"/>
      <c r="F15" s="499"/>
      <c r="G15" s="499"/>
      <c r="H15" s="499"/>
      <c r="I15" s="499"/>
      <c r="J15" s="499"/>
      <c r="K15" s="499"/>
      <c r="L15" s="499"/>
      <c r="M15" s="499"/>
      <c r="N15" s="499"/>
      <c r="O15" s="500"/>
      <c r="P15" s="33" t="s">
        <v>18</v>
      </c>
      <c r="Q15" s="33" t="s">
        <v>557</v>
      </c>
      <c r="R15" s="33" t="s">
        <v>54</v>
      </c>
      <c r="S15" s="322" t="s">
        <v>79</v>
      </c>
      <c r="T15" s="322" t="s">
        <v>63</v>
      </c>
      <c r="U15" s="512"/>
      <c r="V15" s="32"/>
    </row>
    <row r="16" spans="1:22" s="16" customFormat="1">
      <c r="A16" s="489"/>
      <c r="B16" s="501" t="s">
        <v>19</v>
      </c>
      <c r="C16" s="502"/>
      <c r="D16" s="502"/>
      <c r="E16" s="502"/>
      <c r="F16" s="502"/>
      <c r="G16" s="502"/>
      <c r="H16" s="502"/>
      <c r="I16" s="502"/>
      <c r="J16" s="502"/>
      <c r="K16" s="502"/>
      <c r="L16" s="502"/>
      <c r="M16" s="502"/>
      <c r="N16" s="502"/>
      <c r="O16" s="503"/>
      <c r="P16" s="35" t="s">
        <v>20</v>
      </c>
      <c r="Q16" s="35">
        <v>5241114</v>
      </c>
      <c r="R16" s="93">
        <v>524119</v>
      </c>
      <c r="S16" s="93">
        <v>522151</v>
      </c>
      <c r="T16" s="363" t="s">
        <v>167</v>
      </c>
      <c r="U16" s="513"/>
      <c r="V16" s="32"/>
    </row>
    <row r="17" spans="1:22" s="16" customFormat="1">
      <c r="A17" s="36" t="s">
        <v>21</v>
      </c>
      <c r="B17" s="506">
        <v>2</v>
      </c>
      <c r="C17" s="507"/>
      <c r="D17" s="507"/>
      <c r="E17" s="507"/>
      <c r="F17" s="507"/>
      <c r="G17" s="507"/>
      <c r="H17" s="507"/>
      <c r="I17" s="507"/>
      <c r="J17" s="507"/>
      <c r="K17" s="507"/>
      <c r="L17" s="507"/>
      <c r="M17" s="507"/>
      <c r="N17" s="507"/>
      <c r="O17" s="508"/>
      <c r="P17" s="36" t="s">
        <v>22</v>
      </c>
      <c r="Q17" s="36"/>
      <c r="R17" s="36"/>
      <c r="S17" s="36"/>
      <c r="T17" s="36"/>
      <c r="U17" s="36" t="s">
        <v>24</v>
      </c>
      <c r="V17" s="32"/>
    </row>
    <row r="18" spans="1:22">
      <c r="A18" s="37"/>
      <c r="B18" s="38"/>
      <c r="C18" s="38"/>
      <c r="D18" s="38"/>
      <c r="E18" s="38"/>
      <c r="F18" s="39"/>
      <c r="G18" s="39"/>
      <c r="H18" s="38"/>
      <c r="I18" s="39"/>
      <c r="J18" s="39"/>
      <c r="K18" s="38"/>
      <c r="L18" s="39"/>
      <c r="M18" s="39"/>
      <c r="N18" s="39"/>
      <c r="O18" s="38"/>
      <c r="P18" s="40"/>
      <c r="Q18" s="40"/>
      <c r="R18" s="40"/>
      <c r="S18" s="40"/>
      <c r="T18" s="40"/>
      <c r="U18" s="40"/>
      <c r="V18" s="41"/>
    </row>
    <row r="19" spans="1:22">
      <c r="A19" s="42"/>
      <c r="B19" s="55" t="s">
        <v>182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43"/>
      <c r="Q19" s="43"/>
      <c r="R19" s="43"/>
      <c r="S19" s="43"/>
      <c r="T19" s="43"/>
      <c r="U19" s="43"/>
      <c r="V19" s="41"/>
    </row>
    <row r="20" spans="1:22" ht="15.6">
      <c r="A20" s="44"/>
      <c r="B20" s="16"/>
      <c r="C20" s="45"/>
      <c r="D20" s="46"/>
      <c r="E20" s="47"/>
      <c r="F20" s="48"/>
      <c r="G20" s="48"/>
      <c r="H20" s="47"/>
      <c r="I20" s="48"/>
      <c r="J20" s="48"/>
      <c r="K20" s="47"/>
      <c r="L20" s="48"/>
      <c r="M20" s="48"/>
      <c r="N20" s="48"/>
      <c r="O20" s="47"/>
      <c r="P20" s="49"/>
      <c r="Q20" s="49"/>
      <c r="R20" s="49"/>
      <c r="S20" s="49"/>
      <c r="T20" s="49"/>
      <c r="U20" s="49"/>
      <c r="V20" s="29"/>
    </row>
    <row r="21" spans="1:22">
      <c r="A21" s="54">
        <v>1</v>
      </c>
      <c r="B21" s="55" t="s">
        <v>428</v>
      </c>
      <c r="C21" s="56"/>
      <c r="D21" s="4"/>
      <c r="E21" s="47"/>
      <c r="F21" s="4"/>
      <c r="G21" s="4"/>
      <c r="H21" s="47"/>
      <c r="I21" s="48"/>
      <c r="J21" s="48"/>
      <c r="K21" s="47"/>
      <c r="L21" s="48"/>
      <c r="M21" s="48"/>
      <c r="N21" s="48"/>
      <c r="O21" s="179"/>
      <c r="P21" s="49"/>
      <c r="Q21" s="49"/>
      <c r="R21" s="49"/>
      <c r="S21" s="49"/>
      <c r="T21" s="49"/>
      <c r="U21" s="49"/>
      <c r="V21" s="29">
        <f>SUM(U25:U75)</f>
        <v>267343000</v>
      </c>
    </row>
    <row r="22" spans="1:22">
      <c r="A22" s="54" t="s">
        <v>49</v>
      </c>
      <c r="B22" s="55" t="s">
        <v>423</v>
      </c>
      <c r="C22" s="56"/>
      <c r="D22" s="4"/>
      <c r="E22" s="47"/>
      <c r="F22" s="4"/>
      <c r="G22" s="4"/>
      <c r="H22" s="47"/>
      <c r="I22" s="48"/>
      <c r="J22" s="48"/>
      <c r="K22" s="47"/>
      <c r="L22" s="48"/>
      <c r="M22" s="48"/>
      <c r="N22" s="48"/>
      <c r="O22" s="179"/>
      <c r="P22" s="49"/>
      <c r="Q22" s="49"/>
      <c r="R22" s="49"/>
      <c r="S22" s="49"/>
      <c r="T22" s="49"/>
      <c r="U22" s="49"/>
      <c r="V22" s="58">
        <f>SUM(U25:U35)</f>
        <v>46765000</v>
      </c>
    </row>
    <row r="23" spans="1:22">
      <c r="A23" s="54"/>
      <c r="B23" s="55"/>
      <c r="C23" s="56"/>
      <c r="D23" s="4"/>
      <c r="E23" s="47"/>
      <c r="F23" s="4"/>
      <c r="G23" s="4"/>
      <c r="H23" s="47"/>
      <c r="I23" s="48"/>
      <c r="J23" s="48"/>
      <c r="K23" s="47"/>
      <c r="L23" s="48"/>
      <c r="M23" s="48"/>
      <c r="N23" s="48"/>
      <c r="O23" s="183"/>
      <c r="P23" s="49"/>
      <c r="Q23" s="49"/>
      <c r="R23" s="49"/>
      <c r="S23" s="49"/>
      <c r="T23" s="49"/>
      <c r="U23" s="49"/>
      <c r="V23" s="58"/>
    </row>
    <row r="24" spans="1:22">
      <c r="A24" s="54"/>
      <c r="B24" s="55" t="s">
        <v>42</v>
      </c>
      <c r="C24" s="4"/>
      <c r="D24" s="4"/>
      <c r="E24" s="47"/>
      <c r="F24" s="4"/>
      <c r="G24" s="4"/>
      <c r="H24" s="47"/>
      <c r="I24" s="48"/>
      <c r="J24" s="48"/>
      <c r="K24" s="47"/>
      <c r="L24" s="48"/>
      <c r="M24" s="48"/>
      <c r="N24" s="48"/>
      <c r="O24" s="47"/>
      <c r="P24" s="49">
        <f>O24*K24</f>
        <v>0</v>
      </c>
      <c r="Q24" s="49"/>
      <c r="R24" s="49"/>
      <c r="S24" s="49"/>
      <c r="T24" s="49"/>
      <c r="U24" s="49"/>
      <c r="V24" s="58"/>
    </row>
    <row r="25" spans="1:22" ht="14.4" customHeight="1">
      <c r="A25" s="54"/>
      <c r="B25" s="100" t="s">
        <v>424</v>
      </c>
      <c r="C25" s="4"/>
      <c r="D25" s="4"/>
      <c r="E25" s="4"/>
      <c r="F25" s="52"/>
      <c r="G25" s="52"/>
      <c r="H25" s="47">
        <v>500</v>
      </c>
      <c r="I25" s="48" t="s">
        <v>72</v>
      </c>
      <c r="J25" s="48" t="s">
        <v>27</v>
      </c>
      <c r="K25" s="47">
        <v>1</v>
      </c>
      <c r="L25" s="48" t="s">
        <v>26</v>
      </c>
      <c r="M25" s="48" t="s">
        <v>27</v>
      </c>
      <c r="N25" s="48" t="s">
        <v>28</v>
      </c>
      <c r="O25" s="47">
        <v>5000</v>
      </c>
      <c r="P25" s="63">
        <f>O25*H25*K25</f>
        <v>2500000</v>
      </c>
      <c r="Q25" s="63"/>
      <c r="R25" s="65"/>
      <c r="S25" s="65"/>
      <c r="T25" s="65"/>
      <c r="U25" s="49">
        <f>SUM(P25:T25)</f>
        <v>2500000</v>
      </c>
      <c r="V25" s="65">
        <f>SUM(U25:U32)</f>
        <v>36765000</v>
      </c>
    </row>
    <row r="26" spans="1:22">
      <c r="A26" s="54"/>
      <c r="B26" s="100" t="s">
        <v>507</v>
      </c>
      <c r="C26" s="56"/>
      <c r="D26" s="4"/>
      <c r="E26" s="47"/>
      <c r="F26" s="4"/>
      <c r="G26" s="4"/>
      <c r="H26" s="47">
        <v>500</v>
      </c>
      <c r="I26" s="48" t="s">
        <v>47</v>
      </c>
      <c r="J26" s="48" t="s">
        <v>27</v>
      </c>
      <c r="K26" s="47">
        <v>1</v>
      </c>
      <c r="L26" s="48" t="s">
        <v>26</v>
      </c>
      <c r="M26" s="48" t="s">
        <v>27</v>
      </c>
      <c r="N26" s="48" t="s">
        <v>28</v>
      </c>
      <c r="O26" s="47">
        <v>10000</v>
      </c>
      <c r="P26" s="63">
        <f t="shared" ref="P26:P32" si="0">O26*K26*H26</f>
        <v>5000000</v>
      </c>
      <c r="Q26" s="63"/>
      <c r="R26" s="49"/>
      <c r="S26" s="49"/>
      <c r="T26" s="49"/>
      <c r="U26" s="49">
        <f t="shared" ref="U25:U33" si="1">SUM(P26:T26)</f>
        <v>5000000</v>
      </c>
      <c r="V26" s="58"/>
    </row>
    <row r="27" spans="1:22">
      <c r="A27" s="54"/>
      <c r="B27" s="100" t="s">
        <v>508</v>
      </c>
      <c r="C27" s="4"/>
      <c r="D27" s="4"/>
      <c r="E27" s="47"/>
      <c r="F27" s="4"/>
      <c r="G27" s="4"/>
      <c r="H27" s="47">
        <v>15</v>
      </c>
      <c r="I27" s="48" t="s">
        <v>72</v>
      </c>
      <c r="J27" s="48" t="s">
        <v>27</v>
      </c>
      <c r="K27" s="47">
        <v>1</v>
      </c>
      <c r="L27" s="48" t="s">
        <v>26</v>
      </c>
      <c r="M27" s="48" t="s">
        <v>27</v>
      </c>
      <c r="N27" s="48" t="s">
        <v>28</v>
      </c>
      <c r="O27" s="47">
        <v>200000</v>
      </c>
      <c r="P27" s="63">
        <f t="shared" si="0"/>
        <v>3000000</v>
      </c>
      <c r="Q27" s="63"/>
      <c r="R27" s="49"/>
      <c r="S27" s="49"/>
      <c r="T27" s="49"/>
      <c r="U27" s="49">
        <f t="shared" si="1"/>
        <v>3000000</v>
      </c>
      <c r="V27" s="58"/>
    </row>
    <row r="28" spans="1:22">
      <c r="A28" s="54"/>
      <c r="B28" s="100" t="s">
        <v>69</v>
      </c>
      <c r="C28" s="4"/>
      <c r="D28" s="4"/>
      <c r="E28" s="47"/>
      <c r="F28" s="4"/>
      <c r="G28" s="4"/>
      <c r="H28" s="47">
        <v>8</v>
      </c>
      <c r="I28" s="48" t="s">
        <v>30</v>
      </c>
      <c r="J28" s="48" t="s">
        <v>27</v>
      </c>
      <c r="K28" s="47">
        <v>3</v>
      </c>
      <c r="L28" s="48" t="s">
        <v>26</v>
      </c>
      <c r="M28" s="48" t="s">
        <v>27</v>
      </c>
      <c r="N28" s="48" t="s">
        <v>28</v>
      </c>
      <c r="O28" s="47">
        <v>50000</v>
      </c>
      <c r="P28" s="63">
        <f t="shared" si="0"/>
        <v>1200000</v>
      </c>
      <c r="Q28" s="63"/>
      <c r="R28" s="49"/>
      <c r="S28" s="49"/>
      <c r="T28" s="49"/>
      <c r="U28" s="49">
        <f t="shared" si="1"/>
        <v>1200000</v>
      </c>
      <c r="V28" s="58"/>
    </row>
    <row r="29" spans="1:22">
      <c r="A29" s="54"/>
      <c r="B29" s="100" t="s">
        <v>70</v>
      </c>
      <c r="C29" s="4"/>
      <c r="D29" s="4"/>
      <c r="E29" s="47"/>
      <c r="F29" s="4"/>
      <c r="G29" s="4"/>
      <c r="H29" s="47">
        <v>3</v>
      </c>
      <c r="I29" s="48" t="s">
        <v>73</v>
      </c>
      <c r="J29" s="48" t="s">
        <v>27</v>
      </c>
      <c r="K29" s="47">
        <v>1</v>
      </c>
      <c r="L29" s="48" t="s">
        <v>26</v>
      </c>
      <c r="M29" s="48" t="s">
        <v>27</v>
      </c>
      <c r="N29" s="48" t="s">
        <v>28</v>
      </c>
      <c r="O29" s="47">
        <v>75000</v>
      </c>
      <c r="P29" s="63">
        <f t="shared" si="0"/>
        <v>225000</v>
      </c>
      <c r="Q29" s="63"/>
      <c r="R29" s="49"/>
      <c r="S29" s="49"/>
      <c r="T29" s="49"/>
      <c r="U29" s="49">
        <f t="shared" si="1"/>
        <v>225000</v>
      </c>
      <c r="V29" s="58"/>
    </row>
    <row r="30" spans="1:22" s="73" customFormat="1" ht="13.8">
      <c r="A30" s="66"/>
      <c r="B30" s="100" t="s">
        <v>71</v>
      </c>
      <c r="C30" s="4"/>
      <c r="D30" s="4"/>
      <c r="E30" s="47"/>
      <c r="F30" s="4"/>
      <c r="G30" s="4"/>
      <c r="H30" s="47">
        <v>36</v>
      </c>
      <c r="I30" s="48" t="s">
        <v>47</v>
      </c>
      <c r="J30" s="48" t="s">
        <v>27</v>
      </c>
      <c r="K30" s="47">
        <v>1</v>
      </c>
      <c r="L30" s="48" t="s">
        <v>26</v>
      </c>
      <c r="M30" s="48" t="s">
        <v>27</v>
      </c>
      <c r="N30" s="48" t="s">
        <v>28</v>
      </c>
      <c r="O30" s="47">
        <v>90000</v>
      </c>
      <c r="P30" s="63">
        <f t="shared" si="0"/>
        <v>3240000</v>
      </c>
      <c r="Q30" s="63"/>
      <c r="R30" s="49"/>
      <c r="S30" s="49"/>
      <c r="T30" s="71"/>
      <c r="U30" s="49">
        <f t="shared" si="1"/>
        <v>3240000</v>
      </c>
      <c r="V30" s="72"/>
    </row>
    <row r="31" spans="1:22" s="73" customFormat="1" ht="13.8">
      <c r="A31" s="66"/>
      <c r="B31" s="100" t="s">
        <v>425</v>
      </c>
      <c r="C31" s="4"/>
      <c r="D31" s="4"/>
      <c r="E31" s="47"/>
      <c r="F31" s="4"/>
      <c r="G31" s="4"/>
      <c r="H31" s="47">
        <v>1</v>
      </c>
      <c r="I31" s="48" t="s">
        <v>47</v>
      </c>
      <c r="J31" s="48" t="s">
        <v>27</v>
      </c>
      <c r="K31" s="47">
        <v>1</v>
      </c>
      <c r="L31" s="48" t="s">
        <v>26</v>
      </c>
      <c r="M31" s="48" t="s">
        <v>27</v>
      </c>
      <c r="N31" s="48" t="s">
        <v>28</v>
      </c>
      <c r="O31" s="47">
        <v>15000000</v>
      </c>
      <c r="P31" s="63">
        <f t="shared" si="0"/>
        <v>15000000</v>
      </c>
      <c r="Q31" s="63"/>
      <c r="R31" s="49"/>
      <c r="S31" s="49"/>
      <c r="T31" s="71"/>
      <c r="U31" s="49">
        <f t="shared" si="1"/>
        <v>15000000</v>
      </c>
      <c r="V31" s="72"/>
    </row>
    <row r="32" spans="1:22" s="73" customFormat="1" ht="13.8">
      <c r="A32" s="66"/>
      <c r="B32" s="100" t="s">
        <v>426</v>
      </c>
      <c r="C32" s="4"/>
      <c r="D32" s="4"/>
      <c r="E32" s="47"/>
      <c r="F32" s="4"/>
      <c r="G32" s="4"/>
      <c r="H32" s="47">
        <v>2</v>
      </c>
      <c r="I32" s="48" t="s">
        <v>30</v>
      </c>
      <c r="J32" s="48" t="s">
        <v>27</v>
      </c>
      <c r="K32" s="47">
        <v>30</v>
      </c>
      <c r="L32" s="48" t="s">
        <v>31</v>
      </c>
      <c r="M32" s="48" t="s">
        <v>27</v>
      </c>
      <c r="N32" s="48" t="s">
        <v>28</v>
      </c>
      <c r="O32" s="47">
        <v>110000</v>
      </c>
      <c r="P32" s="63">
        <f t="shared" si="0"/>
        <v>6600000</v>
      </c>
      <c r="Q32" s="63"/>
      <c r="R32" s="49"/>
      <c r="S32" s="49"/>
      <c r="T32" s="71"/>
      <c r="U32" s="49">
        <f t="shared" si="1"/>
        <v>6600000</v>
      </c>
      <c r="V32" s="72"/>
    </row>
    <row r="33" spans="1:22" s="73" customFormat="1" ht="13.8">
      <c r="A33" s="66"/>
      <c r="B33" s="100"/>
      <c r="C33" s="4"/>
      <c r="D33" s="4"/>
      <c r="E33" s="47"/>
      <c r="F33" s="4"/>
      <c r="G33" s="4"/>
      <c r="H33" s="47"/>
      <c r="I33" s="48"/>
      <c r="J33" s="48"/>
      <c r="K33" s="47"/>
      <c r="L33" s="48"/>
      <c r="M33" s="48"/>
      <c r="N33" s="48"/>
      <c r="O33" s="47"/>
      <c r="P33" s="63"/>
      <c r="Q33" s="63"/>
      <c r="R33" s="49"/>
      <c r="S33" s="49"/>
      <c r="T33" s="71"/>
      <c r="U33" s="49">
        <f t="shared" si="1"/>
        <v>0</v>
      </c>
      <c r="V33" s="72"/>
    </row>
    <row r="34" spans="1:22">
      <c r="A34" s="54"/>
      <c r="B34" s="55" t="s">
        <v>60</v>
      </c>
      <c r="C34" s="4"/>
      <c r="D34" s="4"/>
      <c r="E34" s="4"/>
      <c r="F34" s="52"/>
      <c r="G34" s="52"/>
      <c r="H34" s="47"/>
      <c r="I34" s="48"/>
      <c r="J34" s="64"/>
      <c r="K34" s="47"/>
      <c r="L34" s="48"/>
      <c r="M34" s="64"/>
      <c r="N34" s="48"/>
      <c r="O34" s="47"/>
      <c r="P34" s="63"/>
      <c r="Q34" s="63"/>
      <c r="R34" s="65"/>
      <c r="S34" s="65"/>
      <c r="T34" s="65"/>
      <c r="U34" s="49">
        <f>SUM(P34:T34)</f>
        <v>0</v>
      </c>
      <c r="V34" s="65"/>
    </row>
    <row r="35" spans="1:22">
      <c r="A35" s="54"/>
      <c r="B35" s="102" t="s">
        <v>427</v>
      </c>
      <c r="C35" s="56"/>
      <c r="D35" s="4"/>
      <c r="E35" s="47"/>
      <c r="F35" s="4"/>
      <c r="G35" s="4"/>
      <c r="H35" s="47"/>
      <c r="I35" s="48"/>
      <c r="J35" s="48"/>
      <c r="K35" s="47">
        <v>1</v>
      </c>
      <c r="L35" s="48" t="s">
        <v>47</v>
      </c>
      <c r="M35" s="48" t="s">
        <v>27</v>
      </c>
      <c r="N35" s="48" t="s">
        <v>28</v>
      </c>
      <c r="O35" s="57">
        <v>10000000</v>
      </c>
      <c r="P35" s="49"/>
      <c r="Q35" s="49"/>
      <c r="R35" s="49"/>
      <c r="S35" s="49"/>
      <c r="T35" s="49">
        <f>O35*K35</f>
        <v>10000000</v>
      </c>
      <c r="U35" s="49">
        <f>SUM(P35:T35)</f>
        <v>10000000</v>
      </c>
      <c r="V35" s="58"/>
    </row>
    <row r="36" spans="1:22">
      <c r="A36" s="54"/>
      <c r="B36" s="102"/>
      <c r="C36" s="56"/>
      <c r="D36" s="4"/>
      <c r="E36" s="47"/>
      <c r="F36" s="4"/>
      <c r="G36" s="4"/>
      <c r="H36" s="47"/>
      <c r="I36" s="48"/>
      <c r="J36" s="48"/>
      <c r="K36" s="47"/>
      <c r="L36" s="48"/>
      <c r="M36" s="48"/>
      <c r="N36" s="48"/>
      <c r="O36" s="47"/>
      <c r="P36" s="49"/>
      <c r="Q36" s="49"/>
      <c r="R36" s="49"/>
      <c r="S36" s="49"/>
      <c r="T36" s="49"/>
      <c r="U36" s="49"/>
      <c r="V36" s="58"/>
    </row>
    <row r="37" spans="1:22">
      <c r="A37" s="54" t="s">
        <v>50</v>
      </c>
      <c r="B37" s="97" t="s">
        <v>509</v>
      </c>
      <c r="C37" s="56"/>
      <c r="D37" s="4"/>
      <c r="E37" s="47"/>
      <c r="F37" s="4"/>
      <c r="G37" s="4"/>
      <c r="H37" s="47"/>
      <c r="I37" s="48"/>
      <c r="J37" s="48"/>
      <c r="K37" s="47"/>
      <c r="L37" s="48"/>
      <c r="M37" s="48"/>
      <c r="N37" s="48"/>
      <c r="O37" s="47"/>
      <c r="P37" s="49"/>
      <c r="Q37" s="49"/>
      <c r="R37" s="49"/>
      <c r="S37" s="49"/>
      <c r="T37" s="49"/>
      <c r="U37" s="49"/>
      <c r="V37" s="362"/>
    </row>
    <row r="38" spans="1:22">
      <c r="A38" s="54"/>
      <c r="B38" s="55" t="s">
        <v>42</v>
      </c>
      <c r="C38" s="4"/>
      <c r="D38" s="4"/>
      <c r="E38" s="47"/>
      <c r="F38" s="4"/>
      <c r="G38" s="4"/>
      <c r="H38" s="47"/>
      <c r="I38" s="48"/>
      <c r="J38" s="48"/>
      <c r="K38" s="47"/>
      <c r="L38" s="48"/>
      <c r="M38" s="48"/>
      <c r="N38" s="48"/>
      <c r="O38" s="47"/>
      <c r="P38" s="49">
        <f>O38*K38</f>
        <v>0</v>
      </c>
      <c r="Q38" s="49"/>
      <c r="R38" s="49"/>
      <c r="S38" s="49"/>
      <c r="T38" s="49"/>
      <c r="U38" s="49">
        <f t="shared" ref="U38:U46" si="2">SUM(P38:T38)</f>
        <v>0</v>
      </c>
      <c r="V38" s="29">
        <f>SUM(U39:U55)</f>
        <v>105761000</v>
      </c>
    </row>
    <row r="39" spans="1:22">
      <c r="A39" s="54"/>
      <c r="B39" s="100" t="s">
        <v>68</v>
      </c>
      <c r="C39" s="4"/>
      <c r="D39" s="4"/>
      <c r="E39" s="47"/>
      <c r="F39" s="4"/>
      <c r="G39" s="4"/>
      <c r="H39" s="47">
        <v>1</v>
      </c>
      <c r="I39" s="48" t="s">
        <v>47</v>
      </c>
      <c r="J39" s="48" t="s">
        <v>27</v>
      </c>
      <c r="K39" s="47">
        <v>1</v>
      </c>
      <c r="L39" s="48" t="s">
        <v>26</v>
      </c>
      <c r="M39" s="48" t="s">
        <v>27</v>
      </c>
      <c r="N39" s="48" t="s">
        <v>28</v>
      </c>
      <c r="O39" s="47">
        <v>500000</v>
      </c>
      <c r="P39" s="63">
        <f t="shared" ref="P39:P45" si="3">O39*K39*H39</f>
        <v>500000</v>
      </c>
      <c r="Q39" s="63"/>
      <c r="R39" s="63"/>
      <c r="S39" s="63"/>
      <c r="T39" s="49"/>
      <c r="U39" s="49">
        <f t="shared" si="2"/>
        <v>500000</v>
      </c>
      <c r="V39" s="29">
        <f>SUM(U39:U45)</f>
        <v>34665000</v>
      </c>
    </row>
    <row r="40" spans="1:22">
      <c r="A40" s="54"/>
      <c r="B40" s="100" t="s">
        <v>534</v>
      </c>
      <c r="C40" s="4"/>
      <c r="D40" s="4"/>
      <c r="E40" s="4"/>
      <c r="F40" s="52"/>
      <c r="G40" s="52"/>
      <c r="H40" s="47">
        <v>500</v>
      </c>
      <c r="I40" s="48" t="s">
        <v>72</v>
      </c>
      <c r="J40" s="48" t="s">
        <v>27</v>
      </c>
      <c r="K40" s="47">
        <v>1</v>
      </c>
      <c r="L40" s="48" t="s">
        <v>26</v>
      </c>
      <c r="M40" s="48" t="s">
        <v>27</v>
      </c>
      <c r="N40" s="48" t="s">
        <v>28</v>
      </c>
      <c r="O40" s="47">
        <v>50000</v>
      </c>
      <c r="P40" s="63">
        <f t="shared" si="3"/>
        <v>25000000</v>
      </c>
      <c r="Q40" s="63"/>
      <c r="R40" s="63"/>
      <c r="S40" s="63"/>
      <c r="T40" s="65"/>
      <c r="U40" s="49">
        <f t="shared" si="2"/>
        <v>25000000</v>
      </c>
      <c r="V40" s="29"/>
    </row>
    <row r="41" spans="1:22">
      <c r="A41" s="54"/>
      <c r="B41" s="100" t="s">
        <v>550</v>
      </c>
      <c r="C41" s="56"/>
      <c r="D41" s="4"/>
      <c r="E41" s="47"/>
      <c r="F41" s="4"/>
      <c r="G41" s="4"/>
      <c r="H41" s="47">
        <v>500</v>
      </c>
      <c r="I41" s="48" t="s">
        <v>47</v>
      </c>
      <c r="J41" s="48" t="s">
        <v>27</v>
      </c>
      <c r="K41" s="47">
        <v>1</v>
      </c>
      <c r="L41" s="48" t="s">
        <v>26</v>
      </c>
      <c r="M41" s="48" t="s">
        <v>27</v>
      </c>
      <c r="N41" s="48" t="s">
        <v>28</v>
      </c>
      <c r="O41" s="47">
        <v>5000</v>
      </c>
      <c r="P41" s="63">
        <f t="shared" si="3"/>
        <v>2500000</v>
      </c>
      <c r="Q41" s="63"/>
      <c r="R41" s="63"/>
      <c r="S41" s="63"/>
      <c r="T41" s="49"/>
      <c r="U41" s="49">
        <f t="shared" si="2"/>
        <v>2500000</v>
      </c>
      <c r="V41" s="29"/>
    </row>
    <row r="42" spans="1:22">
      <c r="A42" s="54"/>
      <c r="B42" s="100" t="s">
        <v>508</v>
      </c>
      <c r="C42" s="4"/>
      <c r="D42" s="4"/>
      <c r="E42" s="47"/>
      <c r="F42" s="4"/>
      <c r="G42" s="4"/>
      <c r="H42" s="47">
        <v>10</v>
      </c>
      <c r="I42" s="48" t="s">
        <v>72</v>
      </c>
      <c r="J42" s="48" t="s">
        <v>27</v>
      </c>
      <c r="K42" s="47">
        <v>1</v>
      </c>
      <c r="L42" s="48" t="s">
        <v>26</v>
      </c>
      <c r="M42" s="48" t="s">
        <v>27</v>
      </c>
      <c r="N42" s="48" t="s">
        <v>28</v>
      </c>
      <c r="O42" s="47">
        <v>200000</v>
      </c>
      <c r="P42" s="63">
        <f t="shared" si="3"/>
        <v>2000000</v>
      </c>
      <c r="Q42" s="63"/>
      <c r="R42" s="63"/>
      <c r="S42" s="63"/>
      <c r="T42" s="49"/>
      <c r="U42" s="49">
        <f t="shared" si="2"/>
        <v>2000000</v>
      </c>
      <c r="V42" s="29"/>
    </row>
    <row r="43" spans="1:22">
      <c r="A43" s="54"/>
      <c r="B43" s="100" t="s">
        <v>69</v>
      </c>
      <c r="C43" s="4"/>
      <c r="D43" s="4"/>
      <c r="E43" s="47"/>
      <c r="F43" s="4"/>
      <c r="G43" s="4"/>
      <c r="H43" s="47">
        <v>8</v>
      </c>
      <c r="I43" s="48" t="s">
        <v>30</v>
      </c>
      <c r="J43" s="48" t="s">
        <v>27</v>
      </c>
      <c r="K43" s="47">
        <v>3</v>
      </c>
      <c r="L43" s="48" t="s">
        <v>26</v>
      </c>
      <c r="M43" s="48" t="s">
        <v>27</v>
      </c>
      <c r="N43" s="48" t="s">
        <v>28</v>
      </c>
      <c r="O43" s="47">
        <v>50000</v>
      </c>
      <c r="P43" s="63">
        <f t="shared" si="3"/>
        <v>1200000</v>
      </c>
      <c r="Q43" s="63"/>
      <c r="R43" s="63"/>
      <c r="S43" s="63"/>
      <c r="T43" s="49"/>
      <c r="U43" s="49">
        <f t="shared" si="2"/>
        <v>1200000</v>
      </c>
      <c r="V43" s="29"/>
    </row>
    <row r="44" spans="1:22">
      <c r="A44" s="54"/>
      <c r="B44" s="100" t="s">
        <v>70</v>
      </c>
      <c r="C44" s="4"/>
      <c r="D44" s="4"/>
      <c r="E44" s="47"/>
      <c r="F44" s="4"/>
      <c r="G44" s="4"/>
      <c r="H44" s="47">
        <v>3</v>
      </c>
      <c r="I44" s="48" t="s">
        <v>73</v>
      </c>
      <c r="J44" s="48" t="s">
        <v>27</v>
      </c>
      <c r="K44" s="47">
        <v>1</v>
      </c>
      <c r="L44" s="48" t="s">
        <v>26</v>
      </c>
      <c r="M44" s="48" t="s">
        <v>27</v>
      </c>
      <c r="N44" s="48" t="s">
        <v>28</v>
      </c>
      <c r="O44" s="47">
        <v>75000</v>
      </c>
      <c r="P44" s="63">
        <f t="shared" si="3"/>
        <v>225000</v>
      </c>
      <c r="Q44" s="63"/>
      <c r="R44" s="63"/>
      <c r="S44" s="63"/>
      <c r="T44" s="49"/>
      <c r="U44" s="49">
        <f t="shared" si="2"/>
        <v>225000</v>
      </c>
      <c r="V44" s="29"/>
    </row>
    <row r="45" spans="1:22" s="73" customFormat="1" ht="13.8">
      <c r="A45" s="66"/>
      <c r="B45" s="100" t="s">
        <v>71</v>
      </c>
      <c r="C45" s="4"/>
      <c r="D45" s="4"/>
      <c r="E45" s="47"/>
      <c r="F45" s="4"/>
      <c r="G45" s="4"/>
      <c r="H45" s="47">
        <v>36</v>
      </c>
      <c r="I45" s="48" t="s">
        <v>47</v>
      </c>
      <c r="J45" s="48" t="s">
        <v>27</v>
      </c>
      <c r="K45" s="47">
        <v>1</v>
      </c>
      <c r="L45" s="48" t="s">
        <v>26</v>
      </c>
      <c r="M45" s="48" t="s">
        <v>27</v>
      </c>
      <c r="N45" s="48" t="s">
        <v>28</v>
      </c>
      <c r="O45" s="47">
        <v>90000</v>
      </c>
      <c r="P45" s="63">
        <f t="shared" si="3"/>
        <v>3240000</v>
      </c>
      <c r="Q45" s="63"/>
      <c r="R45" s="70"/>
      <c r="S45" s="70"/>
      <c r="T45" s="71"/>
      <c r="U45" s="49">
        <f t="shared" si="2"/>
        <v>3240000</v>
      </c>
    </row>
    <row r="46" spans="1:22" s="73" customFormat="1" ht="13.8">
      <c r="A46" s="66"/>
      <c r="B46" s="100"/>
      <c r="C46" s="4"/>
      <c r="D46" s="4"/>
      <c r="E46" s="47"/>
      <c r="F46" s="4"/>
      <c r="G46" s="4"/>
      <c r="H46" s="47"/>
      <c r="I46" s="48"/>
      <c r="J46" s="48"/>
      <c r="K46" s="47"/>
      <c r="L46" s="48"/>
      <c r="M46" s="48"/>
      <c r="N46" s="48"/>
      <c r="O46" s="47"/>
      <c r="P46" s="63"/>
      <c r="Q46" s="63"/>
      <c r="R46" s="70"/>
      <c r="S46" s="70"/>
      <c r="T46" s="71"/>
      <c r="U46" s="49">
        <f t="shared" si="2"/>
        <v>0</v>
      </c>
    </row>
    <row r="47" spans="1:22">
      <c r="A47" s="54"/>
      <c r="B47" s="55" t="s">
        <v>60</v>
      </c>
      <c r="C47" s="4"/>
      <c r="D47" s="4"/>
      <c r="E47" s="4"/>
      <c r="F47" s="52"/>
      <c r="G47" s="52"/>
      <c r="H47" s="47"/>
      <c r="I47" s="48"/>
      <c r="J47" s="64"/>
      <c r="K47" s="47"/>
      <c r="L47" s="48"/>
      <c r="M47" s="64"/>
      <c r="N47" s="48"/>
      <c r="O47" s="47"/>
      <c r="P47" s="63"/>
      <c r="Q47" s="63"/>
      <c r="R47" s="65"/>
      <c r="S47" s="65"/>
      <c r="T47" s="65"/>
      <c r="U47" s="49">
        <f t="shared" ref="U47:U48" si="4">SUM(P47:T47)</f>
        <v>0</v>
      </c>
      <c r="V47" s="65"/>
    </row>
    <row r="48" spans="1:22">
      <c r="A48" s="54"/>
      <c r="B48" s="102" t="s">
        <v>471</v>
      </c>
      <c r="C48" s="56"/>
      <c r="D48" s="4"/>
      <c r="E48" s="47"/>
      <c r="F48" s="4"/>
      <c r="G48" s="4"/>
      <c r="H48" s="47">
        <v>2</v>
      </c>
      <c r="I48" s="48" t="s">
        <v>31</v>
      </c>
      <c r="J48" s="48" t="s">
        <v>27</v>
      </c>
      <c r="K48" s="47">
        <v>1</v>
      </c>
      <c r="L48" s="48" t="s">
        <v>26</v>
      </c>
      <c r="M48" s="48" t="s">
        <v>27</v>
      </c>
      <c r="N48" s="48" t="s">
        <v>28</v>
      </c>
      <c r="O48" s="57">
        <v>820000</v>
      </c>
      <c r="P48" s="49"/>
      <c r="Q48" s="49"/>
      <c r="R48" s="49"/>
      <c r="S48" s="49"/>
      <c r="T48" s="49">
        <f>O48*K48*H48</f>
        <v>1640000</v>
      </c>
      <c r="U48" s="49">
        <f t="shared" si="4"/>
        <v>1640000</v>
      </c>
      <c r="V48" s="58"/>
    </row>
    <row r="49" spans="1:22">
      <c r="A49" s="54"/>
      <c r="B49" s="102"/>
      <c r="C49" s="56"/>
      <c r="D49" s="4"/>
      <c r="E49" s="47"/>
      <c r="F49" s="4"/>
      <c r="G49" s="4"/>
      <c r="H49" s="47"/>
      <c r="I49" s="48"/>
      <c r="J49" s="48"/>
      <c r="K49" s="47"/>
      <c r="L49" s="48"/>
      <c r="M49" s="48"/>
      <c r="N49" s="48"/>
      <c r="O49" s="47"/>
      <c r="P49" s="49"/>
      <c r="Q49" s="49"/>
      <c r="R49" s="49"/>
      <c r="S49" s="49"/>
      <c r="T49" s="49"/>
      <c r="U49" s="49"/>
      <c r="V49" s="58"/>
    </row>
    <row r="50" spans="1:22" s="169" customFormat="1">
      <c r="A50" s="165"/>
      <c r="B50" s="55" t="s">
        <v>51</v>
      </c>
      <c r="C50" s="4"/>
      <c r="D50" s="4"/>
      <c r="E50" s="47"/>
      <c r="F50" s="4"/>
      <c r="G50" s="4"/>
      <c r="H50" s="47"/>
      <c r="I50" s="48"/>
      <c r="J50" s="48"/>
      <c r="K50" s="47"/>
      <c r="L50" s="48"/>
      <c r="M50" s="48"/>
      <c r="N50" s="48"/>
      <c r="O50" s="47"/>
      <c r="P50" s="167"/>
      <c r="Q50" s="167"/>
      <c r="R50" s="178"/>
      <c r="S50" s="178"/>
      <c r="T50" s="163"/>
      <c r="U50" s="177"/>
    </row>
    <row r="51" spans="1:22" s="169" customFormat="1">
      <c r="A51" s="165"/>
      <c r="B51" s="43" t="s">
        <v>386</v>
      </c>
      <c r="C51" s="4"/>
      <c r="D51" s="4"/>
      <c r="E51" s="47"/>
      <c r="F51" s="4"/>
      <c r="G51" s="4"/>
      <c r="H51" s="47">
        <v>6</v>
      </c>
      <c r="I51" s="48" t="s">
        <v>30</v>
      </c>
      <c r="J51" s="48" t="s">
        <v>27</v>
      </c>
      <c r="K51" s="47">
        <v>1</v>
      </c>
      <c r="L51" s="48" t="s">
        <v>26</v>
      </c>
      <c r="M51" s="48" t="s">
        <v>27</v>
      </c>
      <c r="N51" s="48" t="s">
        <v>28</v>
      </c>
      <c r="O51" s="47">
        <v>5000000</v>
      </c>
      <c r="P51" s="167"/>
      <c r="Q51" s="167"/>
      <c r="R51" s="178">
        <f>H51*K51*O51</f>
        <v>30000000</v>
      </c>
      <c r="S51" s="178"/>
      <c r="T51" s="163"/>
      <c r="U51" s="49">
        <f t="shared" ref="U51:U56" si="5">SUM(P51:T51)</f>
        <v>30000000</v>
      </c>
      <c r="V51" s="169">
        <f>SUM(U51:U55)</f>
        <v>69456000</v>
      </c>
    </row>
    <row r="52" spans="1:22" s="169" customFormat="1">
      <c r="A52" s="165"/>
      <c r="B52" s="43" t="s">
        <v>526</v>
      </c>
      <c r="C52" s="4"/>
      <c r="D52" s="4"/>
      <c r="E52" s="47"/>
      <c r="F52" s="4"/>
      <c r="G52" s="4"/>
      <c r="H52" s="47">
        <v>6</v>
      </c>
      <c r="I52" s="48" t="s">
        <v>30</v>
      </c>
      <c r="J52" s="48" t="s">
        <v>27</v>
      </c>
      <c r="K52" s="47">
        <v>1</v>
      </c>
      <c r="L52" s="48" t="s">
        <v>26</v>
      </c>
      <c r="M52" s="48" t="s">
        <v>27</v>
      </c>
      <c r="N52" s="48" t="s">
        <v>28</v>
      </c>
      <c r="O52" s="47">
        <f>16000+30000</f>
        <v>46000</v>
      </c>
      <c r="P52" s="167"/>
      <c r="Q52" s="167"/>
      <c r="R52" s="178">
        <f>H52*K52*O52</f>
        <v>276000</v>
      </c>
      <c r="S52" s="178"/>
      <c r="T52" s="163"/>
      <c r="U52" s="49">
        <f t="shared" ref="U52" si="6">SUM(P52:T52)</f>
        <v>276000</v>
      </c>
    </row>
    <row r="53" spans="1:22" s="169" customFormat="1">
      <c r="A53" s="165"/>
      <c r="B53" s="43" t="s">
        <v>259</v>
      </c>
      <c r="C53" s="4"/>
      <c r="D53" s="4"/>
      <c r="E53" s="47"/>
      <c r="F53" s="4"/>
      <c r="G53" s="4"/>
      <c r="H53" s="47">
        <v>6</v>
      </c>
      <c r="I53" s="48" t="s">
        <v>30</v>
      </c>
      <c r="J53" s="48" t="s">
        <v>27</v>
      </c>
      <c r="K53" s="47">
        <v>1</v>
      </c>
      <c r="L53" s="48" t="s">
        <v>26</v>
      </c>
      <c r="M53" s="48" t="s">
        <v>27</v>
      </c>
      <c r="N53" s="48" t="s">
        <v>28</v>
      </c>
      <c r="O53" s="47">
        <f>(174000+171000)*2</f>
        <v>690000</v>
      </c>
      <c r="P53" s="167"/>
      <c r="Q53" s="167"/>
      <c r="R53" s="178">
        <f t="shared" ref="R53:R55" si="7">H53*K53*O53</f>
        <v>4140000</v>
      </c>
      <c r="S53" s="178"/>
      <c r="T53" s="163"/>
      <c r="U53" s="49">
        <f t="shared" si="5"/>
        <v>4140000</v>
      </c>
    </row>
    <row r="54" spans="1:22" s="169" customFormat="1">
      <c r="A54" s="165"/>
      <c r="B54" s="43" t="s">
        <v>53</v>
      </c>
      <c r="C54" s="4"/>
      <c r="D54" s="4"/>
      <c r="E54" s="47"/>
      <c r="F54" s="4"/>
      <c r="G54" s="4"/>
      <c r="H54" s="47">
        <v>6</v>
      </c>
      <c r="I54" s="48" t="s">
        <v>30</v>
      </c>
      <c r="J54" s="48" t="s">
        <v>27</v>
      </c>
      <c r="K54" s="47">
        <v>8</v>
      </c>
      <c r="L54" s="48" t="s">
        <v>31</v>
      </c>
      <c r="M54" s="48" t="s">
        <v>27</v>
      </c>
      <c r="N54" s="48" t="s">
        <v>28</v>
      </c>
      <c r="O54" s="47">
        <v>380000</v>
      </c>
      <c r="P54" s="167"/>
      <c r="Q54" s="167"/>
      <c r="R54" s="178">
        <f t="shared" si="7"/>
        <v>18240000</v>
      </c>
      <c r="S54" s="178"/>
      <c r="T54" s="163"/>
      <c r="U54" s="49">
        <f t="shared" si="5"/>
        <v>18240000</v>
      </c>
    </row>
    <row r="55" spans="1:22" s="169" customFormat="1">
      <c r="A55" s="165"/>
      <c r="B55" s="43" t="s">
        <v>173</v>
      </c>
      <c r="C55" s="4"/>
      <c r="D55" s="4"/>
      <c r="E55" s="47"/>
      <c r="F55" s="4"/>
      <c r="G55" s="4"/>
      <c r="H55" s="47">
        <v>6</v>
      </c>
      <c r="I55" s="48" t="s">
        <v>30</v>
      </c>
      <c r="J55" s="48" t="s">
        <v>27</v>
      </c>
      <c r="K55" s="47">
        <v>7</v>
      </c>
      <c r="L55" s="48" t="s">
        <v>31</v>
      </c>
      <c r="M55" s="48" t="s">
        <v>27</v>
      </c>
      <c r="N55" s="48" t="s">
        <v>28</v>
      </c>
      <c r="O55" s="47">
        <v>400000</v>
      </c>
      <c r="P55" s="167"/>
      <c r="Q55" s="167"/>
      <c r="R55" s="178">
        <f t="shared" si="7"/>
        <v>16800000</v>
      </c>
      <c r="S55" s="178"/>
      <c r="T55" s="163"/>
      <c r="U55" s="49">
        <f t="shared" si="5"/>
        <v>16800000</v>
      </c>
    </row>
    <row r="56" spans="1:22">
      <c r="A56" s="54"/>
      <c r="B56" s="288"/>
      <c r="C56" s="56"/>
      <c r="D56" s="4"/>
      <c r="E56" s="47"/>
      <c r="F56" s="4"/>
      <c r="G56" s="4"/>
      <c r="H56" s="47"/>
      <c r="I56" s="48"/>
      <c r="J56" s="48"/>
      <c r="K56" s="47"/>
      <c r="L56" s="48"/>
      <c r="M56" s="48"/>
      <c r="N56" s="48"/>
      <c r="O56" s="57"/>
      <c r="P56" s="49"/>
      <c r="Q56" s="49"/>
      <c r="R56" s="49"/>
      <c r="S56" s="49"/>
      <c r="T56" s="49"/>
      <c r="U56" s="49">
        <f t="shared" si="5"/>
        <v>0</v>
      </c>
      <c r="V56" s="29"/>
    </row>
    <row r="57" spans="1:22">
      <c r="A57" s="54" t="s">
        <v>55</v>
      </c>
      <c r="B57" s="97" t="s">
        <v>510</v>
      </c>
      <c r="C57" s="56"/>
      <c r="D57" s="4"/>
      <c r="E57" s="47"/>
      <c r="F57" s="4"/>
      <c r="G57" s="4"/>
      <c r="H57" s="47"/>
      <c r="I57" s="48"/>
      <c r="J57" s="48"/>
      <c r="K57" s="47"/>
      <c r="L57" s="48"/>
      <c r="M57" s="48"/>
      <c r="N57" s="48"/>
      <c r="O57" s="47"/>
      <c r="P57" s="49"/>
      <c r="Q57" s="49"/>
      <c r="R57" s="49"/>
      <c r="S57" s="49"/>
      <c r="T57" s="49"/>
      <c r="U57" s="49"/>
      <c r="V57" s="362"/>
    </row>
    <row r="58" spans="1:22">
      <c r="A58" s="54"/>
      <c r="B58" s="55" t="s">
        <v>42</v>
      </c>
      <c r="C58" s="4"/>
      <c r="D58" s="4"/>
      <c r="E58" s="47"/>
      <c r="F58" s="4"/>
      <c r="G58" s="4"/>
      <c r="H58" s="47"/>
      <c r="I58" s="48"/>
      <c r="J58" s="48"/>
      <c r="K58" s="47"/>
      <c r="L58" s="48"/>
      <c r="M58" s="48"/>
      <c r="N58" s="48"/>
      <c r="O58" s="47"/>
      <c r="P58" s="49">
        <f>O58*K58</f>
        <v>0</v>
      </c>
      <c r="Q58" s="49"/>
      <c r="R58" s="49"/>
      <c r="S58" s="49"/>
      <c r="T58" s="49"/>
      <c r="U58" s="49">
        <f>SUM(P58:T58)</f>
        <v>0</v>
      </c>
      <c r="V58" s="29">
        <f>SUM(U59:U75)</f>
        <v>114817000</v>
      </c>
    </row>
    <row r="59" spans="1:22">
      <c r="A59" s="54"/>
      <c r="B59" s="100" t="s">
        <v>508</v>
      </c>
      <c r="C59" s="4"/>
      <c r="D59" s="4"/>
      <c r="E59" s="47"/>
      <c r="F59" s="4"/>
      <c r="G59" s="4"/>
      <c r="H59" s="47">
        <v>10</v>
      </c>
      <c r="I59" s="48" t="s">
        <v>72</v>
      </c>
      <c r="J59" s="48" t="s">
        <v>27</v>
      </c>
      <c r="K59" s="47">
        <v>1</v>
      </c>
      <c r="L59" s="48" t="s">
        <v>26</v>
      </c>
      <c r="M59" s="48" t="s">
        <v>27</v>
      </c>
      <c r="N59" s="48" t="s">
        <v>28</v>
      </c>
      <c r="O59" s="47">
        <v>200000</v>
      </c>
      <c r="P59" s="63">
        <f t="shared" ref="P59:P65" si="8">O59*K59*H59</f>
        <v>2000000</v>
      </c>
      <c r="Q59" s="63"/>
      <c r="R59" s="63"/>
      <c r="S59" s="63"/>
      <c r="T59" s="49"/>
      <c r="U59" s="49">
        <f>SUM(P59:T59)</f>
        <v>2000000</v>
      </c>
      <c r="V59" s="29"/>
    </row>
    <row r="60" spans="1:22">
      <c r="A60" s="54"/>
      <c r="B60" s="100" t="s">
        <v>424</v>
      </c>
      <c r="C60" s="4"/>
      <c r="D60" s="4"/>
      <c r="E60" s="47"/>
      <c r="F60" s="4"/>
      <c r="G60" s="4"/>
      <c r="H60" s="47">
        <v>1</v>
      </c>
      <c r="I60" s="48" t="s">
        <v>551</v>
      </c>
      <c r="J60" s="48" t="s">
        <v>27</v>
      </c>
      <c r="K60" s="47">
        <v>1</v>
      </c>
      <c r="L60" s="48" t="s">
        <v>26</v>
      </c>
      <c r="M60" s="48" t="s">
        <v>27</v>
      </c>
      <c r="N60" s="48" t="s">
        <v>28</v>
      </c>
      <c r="O60" s="47">
        <v>2500000</v>
      </c>
      <c r="P60" s="63">
        <f t="shared" si="8"/>
        <v>2500000</v>
      </c>
      <c r="Q60" s="63"/>
      <c r="R60" s="63"/>
      <c r="S60" s="63"/>
      <c r="T60" s="49"/>
      <c r="U60" s="49">
        <f t="shared" ref="U60" si="9">SUM(P60:T60)</f>
        <v>2500000</v>
      </c>
      <c r="V60" s="29"/>
    </row>
    <row r="61" spans="1:22">
      <c r="A61" s="54"/>
      <c r="B61" s="100" t="s">
        <v>535</v>
      </c>
      <c r="C61" s="4"/>
      <c r="D61" s="4"/>
      <c r="E61" s="47"/>
      <c r="F61" s="4"/>
      <c r="G61" s="4"/>
      <c r="H61" s="47">
        <v>500</v>
      </c>
      <c r="I61" s="48" t="s">
        <v>72</v>
      </c>
      <c r="J61" s="48" t="s">
        <v>27</v>
      </c>
      <c r="K61" s="47">
        <v>1</v>
      </c>
      <c r="L61" s="48" t="s">
        <v>26</v>
      </c>
      <c r="M61" s="48" t="s">
        <v>27</v>
      </c>
      <c r="N61" s="48" t="s">
        <v>28</v>
      </c>
      <c r="O61" s="47">
        <v>5000</v>
      </c>
      <c r="P61" s="63">
        <f t="shared" ref="P61" si="10">O61*K61*H61</f>
        <v>2500000</v>
      </c>
      <c r="Q61" s="63"/>
      <c r="R61" s="63"/>
      <c r="S61" s="63"/>
      <c r="T61" s="49"/>
      <c r="U61" s="49">
        <f t="shared" ref="U61" si="11">SUM(P61:T61)</f>
        <v>2500000</v>
      </c>
      <c r="V61" s="29"/>
    </row>
    <row r="62" spans="1:22">
      <c r="A62" s="54"/>
      <c r="B62" s="100" t="s">
        <v>69</v>
      </c>
      <c r="C62" s="4"/>
      <c r="D62" s="4"/>
      <c r="E62" s="47"/>
      <c r="F62" s="4"/>
      <c r="G62" s="4"/>
      <c r="H62" s="47">
        <v>8</v>
      </c>
      <c r="I62" s="48" t="s">
        <v>30</v>
      </c>
      <c r="J62" s="48" t="s">
        <v>27</v>
      </c>
      <c r="K62" s="47">
        <v>3</v>
      </c>
      <c r="L62" s="48" t="s">
        <v>26</v>
      </c>
      <c r="M62" s="48" t="s">
        <v>27</v>
      </c>
      <c r="N62" s="48" t="s">
        <v>28</v>
      </c>
      <c r="O62" s="47">
        <v>50000</v>
      </c>
      <c r="P62" s="63">
        <f t="shared" si="8"/>
        <v>1200000</v>
      </c>
      <c r="Q62" s="63"/>
      <c r="R62" s="63"/>
      <c r="S62" s="63"/>
      <c r="T62" s="49"/>
      <c r="U62" s="49">
        <f>SUM(P62:T62)</f>
        <v>1200000</v>
      </c>
      <c r="V62" s="29"/>
    </row>
    <row r="63" spans="1:22">
      <c r="A63" s="54"/>
      <c r="B63" s="100" t="s">
        <v>70</v>
      </c>
      <c r="C63" s="4"/>
      <c r="D63" s="4"/>
      <c r="E63" s="47"/>
      <c r="F63" s="4"/>
      <c r="G63" s="4"/>
      <c r="H63" s="47">
        <v>3</v>
      </c>
      <c r="I63" s="48" t="s">
        <v>73</v>
      </c>
      <c r="J63" s="48" t="s">
        <v>27</v>
      </c>
      <c r="K63" s="47">
        <v>1</v>
      </c>
      <c r="L63" s="48" t="s">
        <v>26</v>
      </c>
      <c r="M63" s="48" t="s">
        <v>27</v>
      </c>
      <c r="N63" s="48" t="s">
        <v>28</v>
      </c>
      <c r="O63" s="47">
        <v>75000</v>
      </c>
      <c r="P63" s="63">
        <f t="shared" si="8"/>
        <v>225000</v>
      </c>
      <c r="Q63" s="63"/>
      <c r="R63" s="63"/>
      <c r="S63" s="63"/>
      <c r="T63" s="49"/>
      <c r="U63" s="49">
        <f>SUM(P63:T63)</f>
        <v>225000</v>
      </c>
      <c r="V63" s="29"/>
    </row>
    <row r="64" spans="1:22" s="73" customFormat="1" ht="13.8">
      <c r="A64" s="66"/>
      <c r="B64" s="100" t="s">
        <v>71</v>
      </c>
      <c r="C64" s="4"/>
      <c r="D64" s="4"/>
      <c r="E64" s="47"/>
      <c r="F64" s="4"/>
      <c r="G64" s="4"/>
      <c r="H64" s="47">
        <v>36</v>
      </c>
      <c r="I64" s="48" t="s">
        <v>47</v>
      </c>
      <c r="J64" s="48" t="s">
        <v>27</v>
      </c>
      <c r="K64" s="47">
        <v>1</v>
      </c>
      <c r="L64" s="48" t="s">
        <v>26</v>
      </c>
      <c r="M64" s="48" t="s">
        <v>27</v>
      </c>
      <c r="N64" s="48" t="s">
        <v>28</v>
      </c>
      <c r="O64" s="47">
        <v>90000</v>
      </c>
      <c r="P64" s="63">
        <f t="shared" si="8"/>
        <v>3240000</v>
      </c>
      <c r="Q64" s="63"/>
      <c r="R64" s="70"/>
      <c r="S64" s="70"/>
      <c r="T64" s="71"/>
      <c r="U64" s="49">
        <f>SUM(P64:T64)</f>
        <v>3240000</v>
      </c>
    </row>
    <row r="65" spans="1:22">
      <c r="A65" s="54"/>
      <c r="B65" s="100" t="s">
        <v>507</v>
      </c>
      <c r="C65" s="56"/>
      <c r="D65" s="4"/>
      <c r="E65" s="47"/>
      <c r="F65" s="4"/>
      <c r="G65" s="4"/>
      <c r="H65" s="47">
        <v>500</v>
      </c>
      <c r="I65" s="48" t="s">
        <v>47</v>
      </c>
      <c r="J65" s="48" t="s">
        <v>27</v>
      </c>
      <c r="K65" s="47">
        <v>1</v>
      </c>
      <c r="L65" s="48" t="s">
        <v>26</v>
      </c>
      <c r="M65" s="48" t="s">
        <v>27</v>
      </c>
      <c r="N65" s="48" t="s">
        <v>28</v>
      </c>
      <c r="O65" s="47">
        <v>10000</v>
      </c>
      <c r="P65" s="63">
        <f t="shared" si="8"/>
        <v>5000000</v>
      </c>
      <c r="Q65" s="63"/>
      <c r="R65" s="49"/>
      <c r="S65" s="49"/>
      <c r="T65" s="49"/>
      <c r="U65" s="49">
        <f t="shared" ref="U65" si="12">SUM(P65:T65)</f>
        <v>5000000</v>
      </c>
      <c r="V65" s="58"/>
    </row>
    <row r="66" spans="1:22" s="73" customFormat="1" ht="13.8">
      <c r="A66" s="66"/>
      <c r="B66" s="100"/>
      <c r="C66" s="4"/>
      <c r="D66" s="4"/>
      <c r="E66" s="47"/>
      <c r="F66" s="4"/>
      <c r="G66" s="4"/>
      <c r="H66" s="47"/>
      <c r="I66" s="48"/>
      <c r="J66" s="48"/>
      <c r="K66" s="47"/>
      <c r="L66" s="48"/>
      <c r="M66" s="48"/>
      <c r="N66" s="48"/>
      <c r="O66" s="47"/>
      <c r="P66" s="63"/>
      <c r="Q66" s="63"/>
      <c r="R66" s="70"/>
      <c r="S66" s="70"/>
      <c r="T66" s="71"/>
      <c r="U66" s="49">
        <f>SUM(P66:T66)</f>
        <v>0</v>
      </c>
    </row>
    <row r="67" spans="1:22">
      <c r="A67" s="54"/>
      <c r="B67" s="55" t="s">
        <v>60</v>
      </c>
      <c r="C67" s="4"/>
      <c r="D67" s="4"/>
      <c r="E67" s="4"/>
      <c r="F67" s="52"/>
      <c r="G67" s="52"/>
      <c r="H67" s="47"/>
      <c r="I67" s="48"/>
      <c r="J67" s="64"/>
      <c r="K67" s="47"/>
      <c r="L67" s="48"/>
      <c r="M67" s="64"/>
      <c r="N67" s="48"/>
      <c r="O67" s="47"/>
      <c r="P67" s="63"/>
      <c r="Q67" s="63"/>
      <c r="R67" s="65"/>
      <c r="S67" s="65"/>
      <c r="T67" s="65"/>
      <c r="U67" s="49">
        <f>SUM(P67:T67)</f>
        <v>0</v>
      </c>
      <c r="V67" s="65"/>
    </row>
    <row r="68" spans="1:22">
      <c r="A68" s="54"/>
      <c r="B68" s="102" t="s">
        <v>471</v>
      </c>
      <c r="C68" s="56"/>
      <c r="D68" s="4"/>
      <c r="E68" s="47"/>
      <c r="F68" s="4"/>
      <c r="G68" s="4"/>
      <c r="H68" s="47">
        <v>2</v>
      </c>
      <c r="I68" s="48" t="s">
        <v>31</v>
      </c>
      <c r="J68" s="48" t="s">
        <v>27</v>
      </c>
      <c r="K68" s="47">
        <v>1</v>
      </c>
      <c r="L68" s="48" t="s">
        <v>26</v>
      </c>
      <c r="M68" s="48" t="s">
        <v>27</v>
      </c>
      <c r="N68" s="48" t="s">
        <v>28</v>
      </c>
      <c r="O68" s="57">
        <v>950000</v>
      </c>
      <c r="P68" s="49"/>
      <c r="Q68" s="49"/>
      <c r="R68" s="49"/>
      <c r="S68" s="49"/>
      <c r="T68" s="49">
        <f>O68*K68*H68</f>
        <v>1900000</v>
      </c>
      <c r="U68" s="49">
        <f>SUM(P68:T68)</f>
        <v>1900000</v>
      </c>
      <c r="V68" s="58"/>
    </row>
    <row r="69" spans="1:22">
      <c r="A69" s="54"/>
      <c r="B69" s="102"/>
      <c r="C69" s="56"/>
      <c r="D69" s="4"/>
      <c r="E69" s="47"/>
      <c r="F69" s="4"/>
      <c r="G69" s="4"/>
      <c r="H69" s="47"/>
      <c r="I69" s="48"/>
      <c r="J69" s="48"/>
      <c r="K69" s="47"/>
      <c r="L69" s="48"/>
      <c r="M69" s="48"/>
      <c r="N69" s="48"/>
      <c r="O69" s="47"/>
      <c r="P69" s="49"/>
      <c r="Q69" s="49"/>
      <c r="R69" s="49"/>
      <c r="S69" s="49"/>
      <c r="T69" s="49"/>
      <c r="U69" s="49"/>
      <c r="V69" s="58"/>
    </row>
    <row r="70" spans="1:22" s="169" customFormat="1">
      <c r="A70" s="165"/>
      <c r="B70" s="55" t="s">
        <v>51</v>
      </c>
      <c r="C70" s="4"/>
      <c r="D70" s="4"/>
      <c r="E70" s="47"/>
      <c r="F70" s="4"/>
      <c r="G70" s="4"/>
      <c r="H70" s="47"/>
      <c r="I70" s="48"/>
      <c r="J70" s="48"/>
      <c r="K70" s="47"/>
      <c r="L70" s="48"/>
      <c r="M70" s="48"/>
      <c r="N70" s="48"/>
      <c r="O70" s="47"/>
      <c r="P70" s="167"/>
      <c r="Q70" s="167"/>
      <c r="R70" s="178"/>
      <c r="S70" s="178"/>
      <c r="T70" s="163"/>
      <c r="U70" s="177"/>
    </row>
    <row r="71" spans="1:22" s="169" customFormat="1">
      <c r="A71" s="165"/>
      <c r="B71" s="43" t="s">
        <v>511</v>
      </c>
      <c r="C71" s="4"/>
      <c r="D71" s="4"/>
      <c r="E71" s="47"/>
      <c r="F71" s="4"/>
      <c r="G71" s="4"/>
      <c r="H71" s="47">
        <v>6</v>
      </c>
      <c r="I71" s="48" t="s">
        <v>30</v>
      </c>
      <c r="J71" s="48" t="s">
        <v>27</v>
      </c>
      <c r="K71" s="47">
        <v>1</v>
      </c>
      <c r="L71" s="48" t="s">
        <v>26</v>
      </c>
      <c r="M71" s="48" t="s">
        <v>27</v>
      </c>
      <c r="N71" s="48" t="s">
        <v>28</v>
      </c>
      <c r="O71" s="47">
        <v>7000000</v>
      </c>
      <c r="P71" s="167"/>
      <c r="Q71" s="167"/>
      <c r="R71" s="178">
        <f>H71*K71*O71</f>
        <v>42000000</v>
      </c>
      <c r="S71" s="178"/>
      <c r="T71" s="163"/>
      <c r="U71" s="49">
        <f t="shared" ref="U71:U76" si="13">SUM(P71:T71)</f>
        <v>42000000</v>
      </c>
    </row>
    <row r="72" spans="1:22" s="169" customFormat="1">
      <c r="A72" s="165"/>
      <c r="B72" s="43" t="s">
        <v>526</v>
      </c>
      <c r="C72" s="4"/>
      <c r="D72" s="4"/>
      <c r="E72" s="47"/>
      <c r="F72" s="4"/>
      <c r="G72" s="4"/>
      <c r="H72" s="47">
        <v>6</v>
      </c>
      <c r="I72" s="48" t="s">
        <v>30</v>
      </c>
      <c r="J72" s="48" t="s">
        <v>27</v>
      </c>
      <c r="K72" s="47">
        <v>1</v>
      </c>
      <c r="L72" s="48" t="s">
        <v>26</v>
      </c>
      <c r="M72" s="48" t="s">
        <v>27</v>
      </c>
      <c r="N72" s="48" t="s">
        <v>28</v>
      </c>
      <c r="O72" s="47">
        <f>16000+40000+30000+40000</f>
        <v>126000</v>
      </c>
      <c r="P72" s="167"/>
      <c r="Q72" s="167"/>
      <c r="R72" s="178">
        <f>H72*K72*O72</f>
        <v>756000</v>
      </c>
      <c r="S72" s="178"/>
      <c r="T72" s="163"/>
      <c r="U72" s="49">
        <f t="shared" ref="U72" si="14">SUM(P72:T72)</f>
        <v>756000</v>
      </c>
    </row>
    <row r="73" spans="1:22" s="169" customFormat="1">
      <c r="A73" s="165"/>
      <c r="B73" s="43" t="s">
        <v>259</v>
      </c>
      <c r="C73" s="4"/>
      <c r="D73" s="4"/>
      <c r="E73" s="47"/>
      <c r="F73" s="4"/>
      <c r="G73" s="4"/>
      <c r="H73" s="47">
        <v>6</v>
      </c>
      <c r="I73" s="48" t="s">
        <v>30</v>
      </c>
      <c r="J73" s="48" t="s">
        <v>27</v>
      </c>
      <c r="K73" s="47">
        <v>1</v>
      </c>
      <c r="L73" s="48" t="s">
        <v>26</v>
      </c>
      <c r="M73" s="48" t="s">
        <v>27</v>
      </c>
      <c r="N73" s="48" t="s">
        <v>28</v>
      </c>
      <c r="O73" s="47">
        <f>(174000+354000)*2</f>
        <v>1056000</v>
      </c>
      <c r="P73" s="167"/>
      <c r="Q73" s="167"/>
      <c r="R73" s="178">
        <f t="shared" ref="R73:R75" si="15">H73*K73*O73</f>
        <v>6336000</v>
      </c>
      <c r="S73" s="178"/>
      <c r="T73" s="163"/>
      <c r="U73" s="49">
        <f t="shared" si="13"/>
        <v>6336000</v>
      </c>
    </row>
    <row r="74" spans="1:22" s="169" customFormat="1">
      <c r="A74" s="165"/>
      <c r="B74" s="43" t="s">
        <v>53</v>
      </c>
      <c r="C74" s="4"/>
      <c r="D74" s="4"/>
      <c r="E74" s="47"/>
      <c r="F74" s="4"/>
      <c r="G74" s="4"/>
      <c r="H74" s="47">
        <v>6</v>
      </c>
      <c r="I74" s="48" t="s">
        <v>30</v>
      </c>
      <c r="J74" s="48" t="s">
        <v>27</v>
      </c>
      <c r="K74" s="47">
        <v>8</v>
      </c>
      <c r="L74" s="48" t="s">
        <v>31</v>
      </c>
      <c r="M74" s="48" t="s">
        <v>27</v>
      </c>
      <c r="N74" s="48" t="s">
        <v>28</v>
      </c>
      <c r="O74" s="47">
        <v>580000</v>
      </c>
      <c r="P74" s="167"/>
      <c r="Q74" s="167"/>
      <c r="R74" s="178">
        <f t="shared" si="15"/>
        <v>27840000</v>
      </c>
      <c r="S74" s="178"/>
      <c r="T74" s="163"/>
      <c r="U74" s="49">
        <f t="shared" si="13"/>
        <v>27840000</v>
      </c>
    </row>
    <row r="75" spans="1:22" s="169" customFormat="1">
      <c r="A75" s="165"/>
      <c r="B75" s="43" t="s">
        <v>173</v>
      </c>
      <c r="C75" s="4"/>
      <c r="D75" s="4"/>
      <c r="E75" s="47"/>
      <c r="F75" s="4"/>
      <c r="G75" s="4"/>
      <c r="H75" s="47">
        <v>6</v>
      </c>
      <c r="I75" s="48" t="s">
        <v>30</v>
      </c>
      <c r="J75" s="48" t="s">
        <v>27</v>
      </c>
      <c r="K75" s="47">
        <v>7</v>
      </c>
      <c r="L75" s="48" t="s">
        <v>31</v>
      </c>
      <c r="M75" s="48" t="s">
        <v>27</v>
      </c>
      <c r="N75" s="48" t="s">
        <v>28</v>
      </c>
      <c r="O75" s="47">
        <v>460000</v>
      </c>
      <c r="P75" s="167"/>
      <c r="Q75" s="167"/>
      <c r="R75" s="178">
        <f t="shared" si="15"/>
        <v>19320000</v>
      </c>
      <c r="S75" s="178"/>
      <c r="T75" s="163"/>
      <c r="U75" s="49">
        <f t="shared" si="13"/>
        <v>19320000</v>
      </c>
    </row>
    <row r="76" spans="1:22">
      <c r="A76" s="54"/>
      <c r="B76" s="288"/>
      <c r="C76" s="56"/>
      <c r="D76" s="4"/>
      <c r="E76" s="47"/>
      <c r="F76" s="4"/>
      <c r="G76" s="4"/>
      <c r="H76" s="47"/>
      <c r="I76" s="48"/>
      <c r="J76" s="48"/>
      <c r="K76" s="47"/>
      <c r="L76" s="48"/>
      <c r="M76" s="48"/>
      <c r="N76" s="48"/>
      <c r="O76" s="57"/>
      <c r="P76" s="49"/>
      <c r="Q76" s="49"/>
      <c r="R76" s="49"/>
      <c r="S76" s="49"/>
      <c r="T76" s="49"/>
      <c r="U76" s="49">
        <f t="shared" si="13"/>
        <v>0</v>
      </c>
      <c r="V76" s="29">
        <f>V77+V121</f>
        <v>75000000</v>
      </c>
    </row>
    <row r="77" spans="1:22">
      <c r="A77" s="54">
        <v>2</v>
      </c>
      <c r="B77" s="3" t="s">
        <v>555</v>
      </c>
      <c r="C77" s="4"/>
      <c r="D77" s="4"/>
      <c r="E77" s="46"/>
      <c r="F77" s="52"/>
      <c r="G77" s="52"/>
      <c r="H77" s="4"/>
      <c r="I77" s="52"/>
      <c r="J77" s="75"/>
      <c r="K77" s="4"/>
      <c r="L77" s="52"/>
      <c r="M77" s="75"/>
      <c r="N77" s="52"/>
      <c r="O77" s="76"/>
      <c r="P77" s="63"/>
      <c r="Q77" s="63"/>
      <c r="R77" s="63"/>
      <c r="S77" s="63"/>
      <c r="T77" s="65"/>
      <c r="U77" s="49"/>
      <c r="V77" s="41">
        <f>SUM(U77:U119)</f>
        <v>0</v>
      </c>
    </row>
    <row r="78" spans="1:22">
      <c r="A78" s="54"/>
      <c r="B78" s="3"/>
      <c r="C78" s="4"/>
      <c r="D78" s="4"/>
      <c r="E78" s="46"/>
      <c r="F78" s="52"/>
      <c r="G78" s="52"/>
      <c r="H78" s="4"/>
      <c r="I78" s="52"/>
      <c r="J78" s="75"/>
      <c r="K78" s="4"/>
      <c r="L78" s="52"/>
      <c r="M78" s="75"/>
      <c r="N78" s="52"/>
      <c r="O78" s="329"/>
      <c r="P78" s="63"/>
      <c r="Q78" s="63"/>
      <c r="R78" s="63"/>
      <c r="S78" s="63"/>
      <c r="T78" s="65"/>
      <c r="U78" s="49"/>
      <c r="V78" s="41"/>
    </row>
    <row r="79" spans="1:22">
      <c r="A79" s="54" t="s">
        <v>49</v>
      </c>
      <c r="B79" s="3" t="s">
        <v>501</v>
      </c>
      <c r="C79" s="4"/>
      <c r="D79" s="4"/>
      <c r="E79" s="46"/>
      <c r="F79" s="52"/>
      <c r="G79" s="52"/>
      <c r="H79" s="4"/>
      <c r="I79" s="52"/>
      <c r="J79" s="75"/>
      <c r="K79" s="4"/>
      <c r="L79" s="52"/>
      <c r="M79" s="75"/>
      <c r="N79" s="52"/>
      <c r="O79" s="329"/>
      <c r="P79" s="63"/>
      <c r="Q79" s="63"/>
      <c r="R79" s="63"/>
      <c r="S79" s="63"/>
      <c r="T79" s="65"/>
      <c r="U79" s="49"/>
      <c r="V79" s="41"/>
    </row>
    <row r="80" spans="1:22">
      <c r="A80" s="54"/>
      <c r="B80" s="55" t="s">
        <v>42</v>
      </c>
      <c r="C80" s="4"/>
      <c r="D80" s="4"/>
      <c r="E80" s="47"/>
      <c r="F80" s="4"/>
      <c r="G80" s="4"/>
      <c r="H80" s="47"/>
      <c r="I80" s="48"/>
      <c r="J80" s="48"/>
      <c r="K80" s="47"/>
      <c r="L80" s="48"/>
      <c r="M80" s="48"/>
      <c r="N80" s="48"/>
      <c r="O80" s="47"/>
      <c r="P80" s="49">
        <f>O80*K80</f>
        <v>0</v>
      </c>
      <c r="Q80" s="49"/>
      <c r="R80" s="49"/>
      <c r="S80" s="49"/>
      <c r="T80" s="49"/>
      <c r="U80" s="49">
        <f t="shared" ref="U80" si="16">SUM(P80:T80)</f>
        <v>0</v>
      </c>
      <c r="V80" s="29">
        <f>SUM(U81:U89)</f>
        <v>0</v>
      </c>
    </row>
    <row r="81" spans="1:23">
      <c r="A81" s="54"/>
      <c r="B81" s="100" t="s">
        <v>537</v>
      </c>
      <c r="C81" s="4"/>
      <c r="D81" s="4"/>
      <c r="E81" s="47"/>
      <c r="F81" s="4"/>
      <c r="G81" s="4"/>
      <c r="H81" s="47">
        <v>10</v>
      </c>
      <c r="I81" s="48" t="s">
        <v>30</v>
      </c>
      <c r="J81" s="48" t="s">
        <v>27</v>
      </c>
      <c r="K81" s="47">
        <v>3</v>
      </c>
      <c r="L81" s="48" t="s">
        <v>26</v>
      </c>
      <c r="M81" s="48" t="s">
        <v>27</v>
      </c>
      <c r="N81" s="48" t="s">
        <v>28</v>
      </c>
      <c r="O81" s="47">
        <v>50000</v>
      </c>
      <c r="P81" s="63">
        <f t="shared" ref="P81" si="17">O81*K81*H81</f>
        <v>1500000</v>
      </c>
      <c r="Q81" s="63"/>
      <c r="R81" s="63"/>
      <c r="S81" s="63"/>
      <c r="T81" s="49"/>
      <c r="U81" s="49"/>
      <c r="V81" s="29">
        <f>O81*K81*H81</f>
        <v>1500000</v>
      </c>
    </row>
    <row r="82" spans="1:23">
      <c r="A82" s="54"/>
      <c r="B82" s="100" t="s">
        <v>538</v>
      </c>
      <c r="C82" s="4"/>
      <c r="D82" s="4"/>
      <c r="E82" s="47"/>
      <c r="F82" s="4"/>
      <c r="G82" s="4"/>
      <c r="H82" s="47"/>
      <c r="I82" s="48"/>
      <c r="J82" s="48"/>
      <c r="K82" s="47">
        <v>1</v>
      </c>
      <c r="L82" s="48" t="s">
        <v>200</v>
      </c>
      <c r="M82" s="48" t="s">
        <v>27</v>
      </c>
      <c r="N82" s="48" t="s">
        <v>28</v>
      </c>
      <c r="O82" s="47">
        <v>300000</v>
      </c>
      <c r="P82" s="63">
        <f>O82*K82</f>
        <v>300000</v>
      </c>
      <c r="Q82" s="63"/>
      <c r="R82" s="63"/>
      <c r="S82" s="63"/>
      <c r="T82" s="49"/>
      <c r="U82" s="49"/>
      <c r="V82" s="29">
        <f>O82*K82</f>
        <v>300000</v>
      </c>
    </row>
    <row r="83" spans="1:23">
      <c r="A83" s="54"/>
      <c r="B83" s="3"/>
      <c r="C83" s="4"/>
      <c r="D83" s="4"/>
      <c r="E83" s="46"/>
      <c r="F83" s="52"/>
      <c r="G83" s="52"/>
      <c r="H83" s="4"/>
      <c r="I83" s="52"/>
      <c r="J83" s="75"/>
      <c r="K83" s="4"/>
      <c r="L83" s="52"/>
      <c r="M83" s="75"/>
      <c r="N83" s="52"/>
      <c r="O83" s="329"/>
      <c r="P83" s="63"/>
      <c r="Q83" s="63"/>
      <c r="R83" s="63"/>
      <c r="S83" s="63"/>
      <c r="T83" s="65"/>
      <c r="U83" s="49"/>
      <c r="V83" s="29">
        <f t="shared" ref="V83:V115" si="18">O83*K83*H83</f>
        <v>0</v>
      </c>
    </row>
    <row r="84" spans="1:23" s="73" customFormat="1" ht="13.8">
      <c r="A84" s="66"/>
      <c r="B84" s="55" t="s">
        <v>51</v>
      </c>
      <c r="C84" s="4"/>
      <c r="D84" s="4"/>
      <c r="E84" s="47"/>
      <c r="F84" s="4"/>
      <c r="G84" s="4"/>
      <c r="H84" s="47"/>
      <c r="I84" s="48"/>
      <c r="J84" s="48"/>
      <c r="K84" s="47"/>
      <c r="L84" s="48"/>
      <c r="M84" s="48"/>
      <c r="N84" s="48"/>
      <c r="O84" s="47"/>
      <c r="P84" s="70"/>
      <c r="Q84" s="70"/>
      <c r="R84" s="71"/>
      <c r="S84" s="71"/>
      <c r="T84" s="72"/>
      <c r="U84" s="49"/>
      <c r="V84" s="29">
        <f t="shared" si="18"/>
        <v>0</v>
      </c>
    </row>
    <row r="85" spans="1:23" s="73" customFormat="1" ht="13.8">
      <c r="A85" s="66"/>
      <c r="B85" s="99" t="s">
        <v>536</v>
      </c>
      <c r="C85" s="4"/>
      <c r="D85" s="4"/>
      <c r="E85" s="47"/>
      <c r="F85" s="4"/>
      <c r="G85" s="4"/>
      <c r="H85" s="47"/>
      <c r="I85" s="48"/>
      <c r="J85" s="48"/>
      <c r="K85" s="47"/>
      <c r="L85" s="48"/>
      <c r="M85" s="48"/>
      <c r="N85" s="48"/>
      <c r="O85" s="47"/>
      <c r="P85" s="70"/>
      <c r="Q85" s="70"/>
      <c r="R85" s="71"/>
      <c r="S85" s="71"/>
      <c r="T85" s="72"/>
      <c r="U85" s="49"/>
      <c r="V85" s="29">
        <f t="shared" si="18"/>
        <v>0</v>
      </c>
    </row>
    <row r="86" spans="1:23">
      <c r="A86" s="54"/>
      <c r="B86" s="103" t="s">
        <v>513</v>
      </c>
      <c r="C86" s="4"/>
      <c r="D86" s="4"/>
      <c r="E86" s="47"/>
      <c r="F86" s="47"/>
      <c r="G86" s="48"/>
      <c r="H86" s="47">
        <v>2</v>
      </c>
      <c r="I86" s="48" t="s">
        <v>30</v>
      </c>
      <c r="J86" s="48" t="s">
        <v>27</v>
      </c>
      <c r="K86" s="47">
        <v>1</v>
      </c>
      <c r="L86" s="48" t="s">
        <v>26</v>
      </c>
      <c r="M86" s="48" t="s">
        <v>27</v>
      </c>
      <c r="N86" s="48" t="s">
        <v>28</v>
      </c>
      <c r="O86" s="47">
        <v>7000000</v>
      </c>
      <c r="P86" s="63"/>
      <c r="Q86" s="63"/>
      <c r="R86" s="49">
        <f>H86*K86*O86</f>
        <v>14000000</v>
      </c>
      <c r="S86" s="49"/>
      <c r="T86" s="58"/>
      <c r="U86" s="49"/>
      <c r="V86" s="29">
        <f t="shared" si="18"/>
        <v>14000000</v>
      </c>
      <c r="W86" s="29">
        <f>SUM(V86:V89)</f>
        <v>24976000</v>
      </c>
    </row>
    <row r="87" spans="1:23" s="169" customFormat="1">
      <c r="A87" s="165"/>
      <c r="B87" s="103" t="s">
        <v>259</v>
      </c>
      <c r="C87" s="4"/>
      <c r="D87" s="4"/>
      <c r="E87" s="47"/>
      <c r="F87" s="4"/>
      <c r="G87" s="4"/>
      <c r="H87" s="47">
        <v>2</v>
      </c>
      <c r="I87" s="48" t="s">
        <v>30</v>
      </c>
      <c r="J87" s="48" t="s">
        <v>27</v>
      </c>
      <c r="K87" s="47">
        <v>1</v>
      </c>
      <c r="L87" s="48" t="s">
        <v>26</v>
      </c>
      <c r="M87" s="48" t="s">
        <v>27</v>
      </c>
      <c r="N87" s="48" t="s">
        <v>28</v>
      </c>
      <c r="O87" s="47">
        <f>(174000+130000)*2</f>
        <v>608000</v>
      </c>
      <c r="P87" s="167"/>
      <c r="Q87" s="167"/>
      <c r="R87" s="49">
        <f>H87*K87*O87</f>
        <v>1216000</v>
      </c>
      <c r="S87" s="178"/>
      <c r="T87" s="163"/>
      <c r="U87" s="49"/>
      <c r="V87" s="29">
        <f t="shared" si="18"/>
        <v>1216000</v>
      </c>
    </row>
    <row r="88" spans="1:23" s="73" customFormat="1" ht="13.8">
      <c r="A88" s="66"/>
      <c r="B88" s="103" t="s">
        <v>53</v>
      </c>
      <c r="C88" s="4"/>
      <c r="D88" s="4"/>
      <c r="E88" s="47"/>
      <c r="F88" s="47"/>
      <c r="G88" s="48"/>
      <c r="H88" s="47">
        <v>2</v>
      </c>
      <c r="I88" s="48" t="s">
        <v>30</v>
      </c>
      <c r="J88" s="48" t="s">
        <v>27</v>
      </c>
      <c r="K88" s="47">
        <v>6</v>
      </c>
      <c r="L88" s="48" t="s">
        <v>31</v>
      </c>
      <c r="M88" s="48" t="s">
        <v>27</v>
      </c>
      <c r="N88" s="48" t="s">
        <v>28</v>
      </c>
      <c r="O88" s="47">
        <v>480000</v>
      </c>
      <c r="P88" s="70"/>
      <c r="Q88" s="70"/>
      <c r="R88" s="49">
        <f>H88*K88*O88</f>
        <v>5760000</v>
      </c>
      <c r="S88" s="71"/>
      <c r="T88" s="72"/>
      <c r="U88" s="49"/>
      <c r="V88" s="29">
        <f t="shared" si="18"/>
        <v>5760000</v>
      </c>
    </row>
    <row r="89" spans="1:23" s="5" customFormat="1">
      <c r="A89" s="6"/>
      <c r="B89" s="103" t="s">
        <v>173</v>
      </c>
      <c r="C89" s="4"/>
      <c r="D89" s="4"/>
      <c r="E89" s="47"/>
      <c r="F89" s="47"/>
      <c r="G89" s="48"/>
      <c r="H89" s="47">
        <v>2</v>
      </c>
      <c r="I89" s="48" t="s">
        <v>30</v>
      </c>
      <c r="J89" s="48" t="s">
        <v>27</v>
      </c>
      <c r="K89" s="47">
        <v>5</v>
      </c>
      <c r="L89" s="48" t="s">
        <v>31</v>
      </c>
      <c r="M89" s="48" t="s">
        <v>27</v>
      </c>
      <c r="N89" s="48" t="s">
        <v>28</v>
      </c>
      <c r="O89" s="47">
        <v>400000</v>
      </c>
      <c r="P89" s="9"/>
      <c r="Q89" s="9"/>
      <c r="R89" s="49">
        <f>H89*K89*O89</f>
        <v>4000000</v>
      </c>
      <c r="S89" s="9"/>
      <c r="T89" s="8"/>
      <c r="U89" s="49"/>
      <c r="V89" s="29">
        <f t="shared" si="18"/>
        <v>4000000</v>
      </c>
    </row>
    <row r="90" spans="1:23" s="5" customFormat="1">
      <c r="A90" s="6"/>
      <c r="B90" s="103"/>
      <c r="C90" s="4"/>
      <c r="D90" s="4"/>
      <c r="E90" s="47"/>
      <c r="F90" s="4"/>
      <c r="G90" s="4"/>
      <c r="H90" s="47"/>
      <c r="I90" s="48"/>
      <c r="J90" s="48"/>
      <c r="K90" s="47"/>
      <c r="L90" s="48"/>
      <c r="M90" s="48"/>
      <c r="N90" s="48"/>
      <c r="O90" s="47"/>
      <c r="P90" s="9"/>
      <c r="Q90" s="9"/>
      <c r="R90" s="49"/>
      <c r="S90" s="9"/>
      <c r="T90" s="8"/>
      <c r="U90" s="49"/>
      <c r="V90" s="29">
        <f t="shared" si="18"/>
        <v>0</v>
      </c>
    </row>
    <row r="91" spans="1:23">
      <c r="A91" s="54" t="s">
        <v>50</v>
      </c>
      <c r="B91" s="3" t="s">
        <v>502</v>
      </c>
      <c r="C91" s="4"/>
      <c r="D91" s="4"/>
      <c r="E91" s="46"/>
      <c r="F91" s="52"/>
      <c r="G91" s="52"/>
      <c r="H91" s="4"/>
      <c r="I91" s="52"/>
      <c r="J91" s="75"/>
      <c r="K91" s="4"/>
      <c r="L91" s="52"/>
      <c r="M91" s="75"/>
      <c r="N91" s="52"/>
      <c r="O91" s="329"/>
      <c r="P91" s="63"/>
      <c r="Q91" s="63"/>
      <c r="R91" s="63"/>
      <c r="S91" s="63"/>
      <c r="T91" s="65"/>
      <c r="U91" s="49"/>
      <c r="V91" s="29">
        <f t="shared" si="18"/>
        <v>0</v>
      </c>
    </row>
    <row r="92" spans="1:23">
      <c r="A92" s="54"/>
      <c r="B92" s="309" t="s">
        <v>629</v>
      </c>
      <c r="C92" s="4"/>
      <c r="D92" s="4"/>
      <c r="E92" s="47"/>
      <c r="F92" s="4"/>
      <c r="G92" s="4"/>
      <c r="H92" s="47"/>
      <c r="I92" s="48"/>
      <c r="J92" s="48"/>
      <c r="K92" s="47"/>
      <c r="L92" s="48"/>
      <c r="M92" s="48"/>
      <c r="N92" s="48"/>
      <c r="O92" s="47"/>
      <c r="P92" s="63"/>
      <c r="Q92" s="63"/>
      <c r="R92" s="63"/>
      <c r="S92" s="63"/>
      <c r="T92" s="65"/>
      <c r="U92" s="49"/>
      <c r="V92" s="29">
        <f t="shared" si="18"/>
        <v>0</v>
      </c>
    </row>
    <row r="93" spans="1:23">
      <c r="A93" s="54"/>
      <c r="B93" s="101" t="s">
        <v>186</v>
      </c>
      <c r="C93" s="4"/>
      <c r="D93" s="4"/>
      <c r="E93" s="47"/>
      <c r="F93" s="4"/>
      <c r="G93" s="4"/>
      <c r="H93" s="47">
        <v>65</v>
      </c>
      <c r="I93" s="48" t="s">
        <v>30</v>
      </c>
      <c r="J93" s="48" t="s">
        <v>27</v>
      </c>
      <c r="K93" s="47">
        <v>1</v>
      </c>
      <c r="L93" s="48" t="s">
        <v>31</v>
      </c>
      <c r="M93" s="48" t="s">
        <v>27</v>
      </c>
      <c r="N93" s="48" t="s">
        <v>28</v>
      </c>
      <c r="O93" s="47">
        <v>870000</v>
      </c>
      <c r="P93" s="63">
        <f t="shared" ref="P93" si="19">O93*K93*H93</f>
        <v>56550000</v>
      </c>
      <c r="Q93" s="63"/>
      <c r="R93" s="9"/>
      <c r="S93" s="9"/>
      <c r="T93" s="8"/>
      <c r="U93" s="49"/>
      <c r="V93" s="29">
        <f t="shared" ref="V93" si="20">O93*K93*H93</f>
        <v>56550000</v>
      </c>
      <c r="W93" s="29">
        <f>SUM(V93:V95)</f>
        <v>90050000</v>
      </c>
    </row>
    <row r="94" spans="1:23">
      <c r="A94" s="54"/>
      <c r="B94" s="387" t="s">
        <v>554</v>
      </c>
      <c r="C94" s="56"/>
      <c r="D94" s="4"/>
      <c r="E94" s="4"/>
      <c r="F94" s="4"/>
      <c r="G94" s="4"/>
      <c r="H94" s="47">
        <v>50</v>
      </c>
      <c r="I94" s="48" t="s">
        <v>30</v>
      </c>
      <c r="J94" s="48" t="s">
        <v>27</v>
      </c>
      <c r="K94" s="47">
        <v>1</v>
      </c>
      <c r="L94" s="48" t="s">
        <v>31</v>
      </c>
      <c r="M94" s="48" t="s">
        <v>27</v>
      </c>
      <c r="N94" s="48" t="s">
        <v>28</v>
      </c>
      <c r="O94" s="47">
        <v>500000</v>
      </c>
      <c r="P94" s="63"/>
      <c r="Q94" s="63">
        <f>O94*K94*H94</f>
        <v>25000000</v>
      </c>
      <c r="R94" s="63"/>
      <c r="S94" s="63"/>
      <c r="T94" s="65"/>
      <c r="U94" s="49"/>
      <c r="V94" s="29">
        <f t="shared" si="18"/>
        <v>25000000</v>
      </c>
    </row>
    <row r="95" spans="1:23">
      <c r="A95" s="54"/>
      <c r="B95" s="387" t="s">
        <v>552</v>
      </c>
      <c r="C95" s="56"/>
      <c r="D95" s="4"/>
      <c r="E95" s="4"/>
      <c r="F95" s="4"/>
      <c r="G95" s="4"/>
      <c r="H95" s="47">
        <v>50</v>
      </c>
      <c r="I95" s="48" t="s">
        <v>30</v>
      </c>
      <c r="J95" s="48" t="s">
        <v>27</v>
      </c>
      <c r="K95" s="47">
        <v>1</v>
      </c>
      <c r="L95" s="48" t="s">
        <v>31</v>
      </c>
      <c r="M95" s="48" t="s">
        <v>27</v>
      </c>
      <c r="N95" s="48" t="s">
        <v>28</v>
      </c>
      <c r="O95" s="47">
        <v>170000</v>
      </c>
      <c r="P95" s="63"/>
      <c r="Q95" s="63">
        <f>O95*K95*H95</f>
        <v>8500000</v>
      </c>
      <c r="R95" s="63"/>
      <c r="S95" s="63"/>
      <c r="T95" s="65"/>
      <c r="U95" s="49"/>
      <c r="V95" s="29">
        <f t="shared" si="18"/>
        <v>8500000</v>
      </c>
    </row>
    <row r="96" spans="1:23">
      <c r="A96" s="54"/>
      <c r="B96" s="101"/>
      <c r="C96" s="56"/>
      <c r="D96" s="4"/>
      <c r="E96" s="4"/>
      <c r="F96" s="4"/>
      <c r="G96" s="4"/>
      <c r="H96" s="47"/>
      <c r="I96" s="48"/>
      <c r="J96" s="48"/>
      <c r="K96" s="47"/>
      <c r="L96" s="48"/>
      <c r="M96" s="48"/>
      <c r="N96" s="48"/>
      <c r="O96" s="47"/>
      <c r="P96" s="63"/>
      <c r="Q96" s="63"/>
      <c r="R96" s="63"/>
      <c r="S96" s="63"/>
      <c r="T96" s="65"/>
      <c r="U96" s="49"/>
      <c r="V96" s="29">
        <f t="shared" si="18"/>
        <v>0</v>
      </c>
    </row>
    <row r="97" spans="1:23" s="73" customFormat="1" ht="13.8">
      <c r="A97" s="66"/>
      <c r="B97" s="104" t="s">
        <v>42</v>
      </c>
      <c r="C97" s="4"/>
      <c r="D97" s="4"/>
      <c r="E97" s="47"/>
      <c r="F97" s="4"/>
      <c r="G97" s="4"/>
      <c r="H97" s="47"/>
      <c r="I97" s="48"/>
      <c r="J97" s="48"/>
      <c r="K97" s="47"/>
      <c r="L97" s="48"/>
      <c r="M97" s="48"/>
      <c r="N97" s="48"/>
      <c r="O97" s="47"/>
      <c r="P97" s="70"/>
      <c r="Q97" s="70"/>
      <c r="R97" s="71"/>
      <c r="S97" s="71"/>
      <c r="T97" s="72"/>
      <c r="U97" s="49"/>
      <c r="V97" s="29">
        <f t="shared" si="18"/>
        <v>0</v>
      </c>
    </row>
    <row r="98" spans="1:23">
      <c r="A98" s="54"/>
      <c r="B98" s="101" t="s">
        <v>75</v>
      </c>
      <c r="C98" s="4"/>
      <c r="D98" s="4"/>
      <c r="E98" s="47"/>
      <c r="F98" s="4"/>
      <c r="G98" s="4"/>
      <c r="H98" s="47">
        <v>2</v>
      </c>
      <c r="I98" s="48" t="s">
        <v>47</v>
      </c>
      <c r="J98" s="48" t="s">
        <v>27</v>
      </c>
      <c r="K98" s="47">
        <v>1</v>
      </c>
      <c r="L98" s="48" t="s">
        <v>26</v>
      </c>
      <c r="M98" s="48" t="s">
        <v>27</v>
      </c>
      <c r="N98" s="48" t="s">
        <v>28</v>
      </c>
      <c r="O98" s="47">
        <v>500000</v>
      </c>
      <c r="P98" s="63">
        <f t="shared" ref="P98:P99" si="21">O98*K98*H98</f>
        <v>1000000</v>
      </c>
      <c r="Q98" s="63"/>
      <c r="R98" s="63"/>
      <c r="S98" s="63"/>
      <c r="T98" s="65"/>
      <c r="U98" s="49"/>
      <c r="V98" s="29">
        <f t="shared" si="18"/>
        <v>1000000</v>
      </c>
      <c r="W98" s="29">
        <f>V98+V99</f>
        <v>11000000</v>
      </c>
    </row>
    <row r="99" spans="1:23">
      <c r="A99" s="54"/>
      <c r="B99" s="101" t="s">
        <v>76</v>
      </c>
      <c r="C99" s="4"/>
      <c r="D99" s="4"/>
      <c r="E99" s="47"/>
      <c r="F99" s="4"/>
      <c r="G99" s="4"/>
      <c r="H99" s="47">
        <v>50</v>
      </c>
      <c r="I99" s="48" t="s">
        <v>30</v>
      </c>
      <c r="J99" s="48" t="s">
        <v>27</v>
      </c>
      <c r="K99" s="47">
        <v>1</v>
      </c>
      <c r="L99" s="48" t="s">
        <v>26</v>
      </c>
      <c r="M99" s="48" t="s">
        <v>27</v>
      </c>
      <c r="N99" s="48" t="s">
        <v>28</v>
      </c>
      <c r="O99" s="47">
        <v>200000</v>
      </c>
      <c r="P99" s="63">
        <f t="shared" si="21"/>
        <v>10000000</v>
      </c>
      <c r="Q99" s="63"/>
      <c r="R99" s="49"/>
      <c r="S99" s="49"/>
      <c r="T99" s="58"/>
      <c r="U99" s="49"/>
      <c r="V99" s="29">
        <f t="shared" si="18"/>
        <v>10000000</v>
      </c>
    </row>
    <row r="100" spans="1:23">
      <c r="A100" s="54"/>
      <c r="B100" s="101"/>
      <c r="C100" s="4"/>
      <c r="D100" s="4"/>
      <c r="E100" s="47"/>
      <c r="F100" s="4"/>
      <c r="G100" s="4"/>
      <c r="H100" s="47"/>
      <c r="I100" s="48"/>
      <c r="J100" s="48"/>
      <c r="K100" s="47"/>
      <c r="L100" s="48"/>
      <c r="M100" s="48"/>
      <c r="N100" s="48"/>
      <c r="O100" s="47"/>
      <c r="P100" s="63"/>
      <c r="Q100" s="63"/>
      <c r="R100" s="49"/>
      <c r="S100" s="49"/>
      <c r="T100" s="58"/>
      <c r="U100" s="49"/>
      <c r="V100" s="29">
        <f t="shared" si="18"/>
        <v>0</v>
      </c>
    </row>
    <row r="101" spans="1:23" s="73" customFormat="1" ht="13.8">
      <c r="A101" s="66"/>
      <c r="B101" s="104" t="s">
        <v>64</v>
      </c>
      <c r="C101" s="4"/>
      <c r="D101" s="4"/>
      <c r="E101" s="47"/>
      <c r="F101" s="4"/>
      <c r="G101" s="4"/>
      <c r="H101" s="47"/>
      <c r="I101" s="48"/>
      <c r="J101" s="48"/>
      <c r="K101" s="47"/>
      <c r="L101" s="48"/>
      <c r="M101" s="48"/>
      <c r="N101" s="48"/>
      <c r="O101" s="47"/>
      <c r="P101" s="70"/>
      <c r="Q101" s="70"/>
      <c r="R101" s="71"/>
      <c r="S101" s="71"/>
      <c r="T101" s="72"/>
      <c r="U101" s="49"/>
      <c r="V101" s="29">
        <f t="shared" si="18"/>
        <v>0</v>
      </c>
    </row>
    <row r="102" spans="1:23" s="73" customFormat="1" ht="13.8">
      <c r="A102" s="66"/>
      <c r="B102" s="101" t="s">
        <v>77</v>
      </c>
      <c r="C102" s="4"/>
      <c r="D102" s="4"/>
      <c r="E102" s="47"/>
      <c r="F102" s="4"/>
      <c r="G102" s="4"/>
      <c r="H102" s="47">
        <v>2</v>
      </c>
      <c r="I102" s="48" t="s">
        <v>30</v>
      </c>
      <c r="J102" s="48" t="s">
        <v>27</v>
      </c>
      <c r="K102" s="47">
        <v>3</v>
      </c>
      <c r="L102" s="48" t="s">
        <v>78</v>
      </c>
      <c r="M102" s="48" t="s">
        <v>27</v>
      </c>
      <c r="N102" s="48" t="s">
        <v>28</v>
      </c>
      <c r="O102" s="47">
        <v>1000000</v>
      </c>
      <c r="P102" s="70"/>
      <c r="Q102" s="70"/>
      <c r="R102" s="71">
        <f>O102*K102*H102</f>
        <v>6000000</v>
      </c>
      <c r="S102" s="71"/>
      <c r="T102" s="72"/>
      <c r="U102" s="49"/>
      <c r="V102" s="29">
        <f t="shared" si="18"/>
        <v>6000000</v>
      </c>
      <c r="W102" s="370">
        <f>SUM(V102:V103)</f>
        <v>9000000</v>
      </c>
    </row>
    <row r="103" spans="1:23">
      <c r="A103" s="54"/>
      <c r="B103" s="101" t="s">
        <v>74</v>
      </c>
      <c r="C103" s="67"/>
      <c r="D103" s="67"/>
      <c r="E103" s="68"/>
      <c r="F103" s="67"/>
      <c r="G103" s="67"/>
      <c r="H103" s="47">
        <v>1</v>
      </c>
      <c r="I103" s="48" t="s">
        <v>30</v>
      </c>
      <c r="J103" s="48" t="s">
        <v>27</v>
      </c>
      <c r="K103" s="47">
        <v>6</v>
      </c>
      <c r="L103" s="48" t="s">
        <v>78</v>
      </c>
      <c r="M103" s="48" t="s">
        <v>27</v>
      </c>
      <c r="N103" s="48" t="s">
        <v>28</v>
      </c>
      <c r="O103" s="47">
        <v>500000</v>
      </c>
      <c r="P103" s="63"/>
      <c r="Q103" s="63"/>
      <c r="R103" s="65">
        <f>O103*K103*H103</f>
        <v>3000000</v>
      </c>
      <c r="S103" s="65"/>
      <c r="T103" s="65"/>
      <c r="U103" s="49"/>
      <c r="V103" s="29">
        <f t="shared" si="18"/>
        <v>3000000</v>
      </c>
    </row>
    <row r="104" spans="1:23" s="5" customFormat="1">
      <c r="A104" s="6"/>
      <c r="B104" s="105"/>
      <c r="C104" s="4"/>
      <c r="D104" s="4"/>
      <c r="E104" s="47"/>
      <c r="F104" s="4"/>
      <c r="G104" s="4"/>
      <c r="H104" s="47"/>
      <c r="I104" s="48"/>
      <c r="J104" s="48"/>
      <c r="K104" s="47"/>
      <c r="L104" s="48"/>
      <c r="M104" s="48"/>
      <c r="N104" s="48"/>
      <c r="O104" s="47"/>
      <c r="P104" s="9"/>
      <c r="Q104" s="9"/>
      <c r="R104" s="9"/>
      <c r="S104" s="9"/>
      <c r="T104" s="8"/>
      <c r="U104" s="49"/>
      <c r="V104" s="29">
        <f t="shared" si="18"/>
        <v>0</v>
      </c>
    </row>
    <row r="105" spans="1:23" s="73" customFormat="1" ht="13.8">
      <c r="A105" s="66"/>
      <c r="B105" s="99" t="s">
        <v>512</v>
      </c>
      <c r="C105" s="4"/>
      <c r="D105" s="4"/>
      <c r="E105" s="47"/>
      <c r="F105" s="4"/>
      <c r="G105" s="4"/>
      <c r="H105" s="47"/>
      <c r="I105" s="48"/>
      <c r="J105" s="48"/>
      <c r="K105" s="47"/>
      <c r="L105" s="48"/>
      <c r="M105" s="48"/>
      <c r="N105" s="48"/>
      <c r="O105" s="47"/>
      <c r="P105" s="70"/>
      <c r="Q105" s="70"/>
      <c r="R105" s="49"/>
      <c r="S105" s="71"/>
      <c r="T105" s="72"/>
      <c r="U105" s="49"/>
      <c r="V105" s="29">
        <f t="shared" si="18"/>
        <v>0</v>
      </c>
    </row>
    <row r="106" spans="1:23">
      <c r="A106" s="54"/>
      <c r="B106" s="103" t="s">
        <v>513</v>
      </c>
      <c r="C106" s="4"/>
      <c r="D106" s="4"/>
      <c r="E106" s="47"/>
      <c r="F106" s="47"/>
      <c r="G106" s="48"/>
      <c r="H106" s="47">
        <v>6</v>
      </c>
      <c r="I106" s="48" t="s">
        <v>30</v>
      </c>
      <c r="J106" s="48" t="s">
        <v>27</v>
      </c>
      <c r="K106" s="47">
        <v>1</v>
      </c>
      <c r="L106" s="48" t="s">
        <v>26</v>
      </c>
      <c r="M106" s="48" t="s">
        <v>27</v>
      </c>
      <c r="N106" s="48" t="s">
        <v>28</v>
      </c>
      <c r="O106" s="47">
        <v>7000000</v>
      </c>
      <c r="P106" s="63"/>
      <c r="Q106" s="63"/>
      <c r="R106" s="49">
        <f>H106*K106*O106</f>
        <v>42000000</v>
      </c>
      <c r="S106" s="49"/>
      <c r="T106" s="58"/>
      <c r="U106" s="49"/>
      <c r="V106" s="29">
        <f t="shared" si="18"/>
        <v>42000000</v>
      </c>
      <c r="W106" s="29">
        <f>SUM(V106:V115)</f>
        <v>72528000</v>
      </c>
    </row>
    <row r="107" spans="1:23" s="169" customFormat="1">
      <c r="A107" s="165"/>
      <c r="B107" s="103" t="s">
        <v>259</v>
      </c>
      <c r="C107" s="4"/>
      <c r="D107" s="4"/>
      <c r="E107" s="47"/>
      <c r="F107" s="4"/>
      <c r="G107" s="4"/>
      <c r="H107" s="47">
        <v>6</v>
      </c>
      <c r="I107" s="48" t="s">
        <v>30</v>
      </c>
      <c r="J107" s="48" t="s">
        <v>27</v>
      </c>
      <c r="K107" s="47">
        <v>1</v>
      </c>
      <c r="L107" s="48" t="s">
        <v>26</v>
      </c>
      <c r="M107" s="48" t="s">
        <v>27</v>
      </c>
      <c r="N107" s="48" t="s">
        <v>28</v>
      </c>
      <c r="O107" s="47">
        <f>(174000+130000)*2</f>
        <v>608000</v>
      </c>
      <c r="P107" s="167"/>
      <c r="Q107" s="167"/>
      <c r="R107" s="49">
        <f t="shared" ref="R107" si="22">H107*K107*O107</f>
        <v>3648000</v>
      </c>
      <c r="S107" s="178"/>
      <c r="T107" s="163"/>
      <c r="U107" s="49"/>
      <c r="V107" s="29">
        <f t="shared" si="18"/>
        <v>3648000</v>
      </c>
    </row>
    <row r="108" spans="1:23" s="73" customFormat="1" ht="13.8">
      <c r="A108" s="66"/>
      <c r="B108" s="103" t="s">
        <v>53</v>
      </c>
      <c r="C108" s="4"/>
      <c r="D108" s="4"/>
      <c r="E108" s="47"/>
      <c r="F108" s="47"/>
      <c r="G108" s="48"/>
      <c r="H108" s="47">
        <v>6</v>
      </c>
      <c r="I108" s="48" t="s">
        <v>30</v>
      </c>
      <c r="J108" s="48" t="s">
        <v>27</v>
      </c>
      <c r="K108" s="47">
        <v>2</v>
      </c>
      <c r="L108" s="48" t="s">
        <v>31</v>
      </c>
      <c r="M108" s="48" t="s">
        <v>27</v>
      </c>
      <c r="N108" s="48" t="s">
        <v>28</v>
      </c>
      <c r="O108" s="47">
        <v>480000</v>
      </c>
      <c r="P108" s="70"/>
      <c r="Q108" s="70"/>
      <c r="R108" s="49">
        <f>H108*K108*O108</f>
        <v>5760000</v>
      </c>
      <c r="S108" s="71"/>
      <c r="T108" s="72"/>
      <c r="U108" s="49"/>
      <c r="V108" s="29">
        <f t="shared" si="18"/>
        <v>5760000</v>
      </c>
    </row>
    <row r="109" spans="1:23" s="5" customFormat="1">
      <c r="A109" s="6"/>
      <c r="B109" s="103" t="s">
        <v>173</v>
      </c>
      <c r="C109" s="4"/>
      <c r="D109" s="4"/>
      <c r="E109" s="47"/>
      <c r="F109" s="47"/>
      <c r="G109" s="48"/>
      <c r="H109" s="47">
        <v>6</v>
      </c>
      <c r="I109" s="48" t="s">
        <v>30</v>
      </c>
      <c r="J109" s="48" t="s">
        <v>27</v>
      </c>
      <c r="K109" s="47">
        <v>1</v>
      </c>
      <c r="L109" s="48" t="s">
        <v>31</v>
      </c>
      <c r="M109" s="48" t="s">
        <v>27</v>
      </c>
      <c r="N109" s="48" t="s">
        <v>28</v>
      </c>
      <c r="O109" s="47">
        <v>400000</v>
      </c>
      <c r="P109" s="9"/>
      <c r="Q109" s="9"/>
      <c r="R109" s="49">
        <f>H109*K109*O109</f>
        <v>2400000</v>
      </c>
      <c r="S109" s="9"/>
      <c r="T109" s="8"/>
      <c r="U109" s="49"/>
      <c r="V109" s="29">
        <f t="shared" si="18"/>
        <v>2400000</v>
      </c>
    </row>
    <row r="110" spans="1:23" s="5" customFormat="1">
      <c r="A110" s="6"/>
      <c r="B110" s="103"/>
      <c r="C110" s="4"/>
      <c r="D110" s="4"/>
      <c r="E110" s="47"/>
      <c r="F110" s="4"/>
      <c r="G110" s="4"/>
      <c r="H110" s="47"/>
      <c r="I110" s="48"/>
      <c r="J110" s="48"/>
      <c r="K110" s="47"/>
      <c r="L110" s="48"/>
      <c r="M110" s="48"/>
      <c r="N110" s="48"/>
      <c r="O110" s="47"/>
      <c r="P110" s="9"/>
      <c r="Q110" s="9"/>
      <c r="R110" s="49"/>
      <c r="S110" s="9"/>
      <c r="T110" s="8"/>
      <c r="U110" s="49"/>
      <c r="V110" s="29">
        <f t="shared" si="18"/>
        <v>0</v>
      </c>
    </row>
    <row r="111" spans="1:23" s="73" customFormat="1" ht="13.8">
      <c r="A111" s="66"/>
      <c r="B111" s="99" t="s">
        <v>80</v>
      </c>
      <c r="C111" s="4"/>
      <c r="D111" s="4"/>
      <c r="E111" s="47"/>
      <c r="F111" s="4"/>
      <c r="G111" s="4"/>
      <c r="H111" s="47"/>
      <c r="I111" s="48"/>
      <c r="J111" s="48"/>
      <c r="K111" s="47"/>
      <c r="L111" s="48"/>
      <c r="M111" s="48"/>
      <c r="N111" s="48"/>
      <c r="O111" s="47"/>
      <c r="P111" s="70"/>
      <c r="Q111" s="70"/>
      <c r="R111" s="49">
        <f>H111*K111*O111</f>
        <v>0</v>
      </c>
      <c r="S111" s="71"/>
      <c r="T111" s="72"/>
      <c r="U111" s="49"/>
      <c r="V111" s="29">
        <f t="shared" si="18"/>
        <v>0</v>
      </c>
    </row>
    <row r="112" spans="1:23">
      <c r="A112" s="54"/>
      <c r="B112" s="103" t="s">
        <v>514</v>
      </c>
      <c r="C112" s="4"/>
      <c r="D112" s="4"/>
      <c r="E112" s="47"/>
      <c r="F112" s="4"/>
      <c r="G112" s="4"/>
      <c r="H112" s="47">
        <v>2</v>
      </c>
      <c r="I112" s="48" t="s">
        <v>30</v>
      </c>
      <c r="J112" s="48" t="s">
        <v>27</v>
      </c>
      <c r="K112" s="47">
        <v>1</v>
      </c>
      <c r="L112" s="48" t="s">
        <v>26</v>
      </c>
      <c r="M112" s="48" t="s">
        <v>27</v>
      </c>
      <c r="N112" s="48" t="s">
        <v>28</v>
      </c>
      <c r="O112" s="47">
        <v>7000000</v>
      </c>
      <c r="P112" s="63"/>
      <c r="Q112" s="63"/>
      <c r="R112" s="49">
        <f>H112*K112*O112</f>
        <v>14000000</v>
      </c>
      <c r="S112" s="49"/>
      <c r="T112" s="58"/>
      <c r="U112" s="49"/>
      <c r="V112" s="29">
        <f t="shared" si="18"/>
        <v>14000000</v>
      </c>
    </row>
    <row r="113" spans="1:22" s="169" customFormat="1">
      <c r="A113" s="165"/>
      <c r="B113" s="103" t="s">
        <v>259</v>
      </c>
      <c r="C113" s="4"/>
      <c r="D113" s="4"/>
      <c r="E113" s="47"/>
      <c r="F113" s="4"/>
      <c r="G113" s="4"/>
      <c r="H113" s="47">
        <v>2</v>
      </c>
      <c r="I113" s="48" t="s">
        <v>30</v>
      </c>
      <c r="J113" s="48" t="s">
        <v>27</v>
      </c>
      <c r="K113" s="47">
        <v>1</v>
      </c>
      <c r="L113" s="48" t="s">
        <v>26</v>
      </c>
      <c r="M113" s="48" t="s">
        <v>27</v>
      </c>
      <c r="N113" s="48" t="s">
        <v>28</v>
      </c>
      <c r="O113" s="47">
        <f>(170000+130000)*2</f>
        <v>600000</v>
      </c>
      <c r="P113" s="167"/>
      <c r="Q113" s="167"/>
      <c r="R113" s="49">
        <f>H113*K113*O113</f>
        <v>1200000</v>
      </c>
      <c r="S113" s="178"/>
      <c r="T113" s="163"/>
      <c r="U113" s="49"/>
      <c r="V113" s="29">
        <f t="shared" si="18"/>
        <v>1200000</v>
      </c>
    </row>
    <row r="114" spans="1:22" s="73" customFormat="1" ht="13.8">
      <c r="A114" s="66"/>
      <c r="B114" s="103" t="s">
        <v>53</v>
      </c>
      <c r="C114" s="4"/>
      <c r="D114" s="4"/>
      <c r="E114" s="47"/>
      <c r="F114" s="4"/>
      <c r="G114" s="4"/>
      <c r="H114" s="47">
        <v>2</v>
      </c>
      <c r="I114" s="48" t="s">
        <v>30</v>
      </c>
      <c r="J114" s="48" t="s">
        <v>27</v>
      </c>
      <c r="K114" s="47">
        <v>2</v>
      </c>
      <c r="L114" s="48" t="s">
        <v>31</v>
      </c>
      <c r="M114" s="48" t="s">
        <v>27</v>
      </c>
      <c r="N114" s="48" t="s">
        <v>28</v>
      </c>
      <c r="O114" s="47">
        <v>480000</v>
      </c>
      <c r="P114" s="70"/>
      <c r="Q114" s="70"/>
      <c r="R114" s="49">
        <f>H114*K114*O114</f>
        <v>1920000</v>
      </c>
      <c r="S114" s="71"/>
      <c r="T114" s="72"/>
      <c r="U114" s="49"/>
      <c r="V114" s="29">
        <f t="shared" si="18"/>
        <v>1920000</v>
      </c>
    </row>
    <row r="115" spans="1:22" s="5" customFormat="1">
      <c r="A115" s="6"/>
      <c r="B115" s="103" t="s">
        <v>173</v>
      </c>
      <c r="C115" s="4"/>
      <c r="D115" s="4"/>
      <c r="E115" s="47"/>
      <c r="F115" s="4"/>
      <c r="G115" s="4"/>
      <c r="H115" s="47">
        <v>2</v>
      </c>
      <c r="I115" s="48" t="s">
        <v>30</v>
      </c>
      <c r="J115" s="48" t="s">
        <v>27</v>
      </c>
      <c r="K115" s="47">
        <v>1</v>
      </c>
      <c r="L115" s="48" t="s">
        <v>31</v>
      </c>
      <c r="M115" s="48" t="s">
        <v>27</v>
      </c>
      <c r="N115" s="48" t="s">
        <v>28</v>
      </c>
      <c r="O115" s="47">
        <v>800000</v>
      </c>
      <c r="P115" s="9"/>
      <c r="Q115" s="9"/>
      <c r="R115" s="49">
        <f>H115*K115*O115</f>
        <v>1600000</v>
      </c>
      <c r="S115" s="9"/>
      <c r="T115" s="8"/>
      <c r="U115" s="49"/>
      <c r="V115" s="29">
        <f t="shared" si="18"/>
        <v>1600000</v>
      </c>
    </row>
    <row r="116" spans="1:22" s="5" customFormat="1" ht="13.8">
      <c r="A116" s="6"/>
      <c r="B116" s="103"/>
      <c r="C116" s="4"/>
      <c r="D116" s="4"/>
      <c r="E116" s="47"/>
      <c r="F116" s="4"/>
      <c r="G116" s="4"/>
      <c r="H116" s="47"/>
      <c r="I116" s="48"/>
      <c r="J116" s="48"/>
      <c r="K116" s="47"/>
      <c r="L116" s="48"/>
      <c r="M116" s="48"/>
      <c r="N116" s="48"/>
      <c r="O116" s="47"/>
      <c r="P116" s="9"/>
      <c r="Q116" s="9"/>
      <c r="R116" s="49"/>
      <c r="S116" s="9"/>
      <c r="T116" s="8"/>
      <c r="U116" s="49"/>
      <c r="V116" s="95"/>
    </row>
    <row r="117" spans="1:22" s="338" customFormat="1">
      <c r="A117" s="165" t="s">
        <v>55</v>
      </c>
      <c r="B117" s="390" t="s">
        <v>197</v>
      </c>
      <c r="C117" s="153"/>
      <c r="D117" s="153"/>
      <c r="E117" s="154"/>
      <c r="F117" s="153"/>
      <c r="G117" s="153"/>
      <c r="H117" s="47"/>
      <c r="I117" s="48"/>
      <c r="J117" s="48"/>
      <c r="K117" s="47"/>
      <c r="L117" s="48"/>
      <c r="M117" s="48"/>
      <c r="N117" s="48"/>
      <c r="O117" s="47"/>
      <c r="P117" s="63"/>
      <c r="Q117" s="63"/>
      <c r="R117" s="49"/>
      <c r="S117" s="49"/>
      <c r="T117" s="58"/>
      <c r="U117" s="49"/>
      <c r="V117" s="337"/>
    </row>
    <row r="118" spans="1:22" s="73" customFormat="1" ht="13.8">
      <c r="A118" s="66"/>
      <c r="B118" s="104" t="s">
        <v>42</v>
      </c>
      <c r="C118" s="4"/>
      <c r="D118" s="4"/>
      <c r="E118" s="47"/>
      <c r="F118" s="4"/>
      <c r="G118" s="4"/>
      <c r="H118" s="47"/>
      <c r="I118" s="48"/>
      <c r="J118" s="48"/>
      <c r="K118" s="47"/>
      <c r="L118" s="48"/>
      <c r="M118" s="48"/>
      <c r="N118" s="48"/>
      <c r="O118" s="47"/>
      <c r="P118" s="70"/>
      <c r="Q118" s="70"/>
      <c r="R118" s="71"/>
      <c r="S118" s="71"/>
      <c r="T118" s="72"/>
      <c r="U118" s="49"/>
      <c r="V118" s="94"/>
    </row>
    <row r="119" spans="1:22">
      <c r="A119" s="54"/>
      <c r="B119" s="101" t="s">
        <v>472</v>
      </c>
      <c r="C119" s="4"/>
      <c r="D119" s="4"/>
      <c r="E119" s="47"/>
      <c r="F119" s="4"/>
      <c r="G119" s="4"/>
      <c r="H119" s="47"/>
      <c r="I119" s="48"/>
      <c r="J119" s="48"/>
      <c r="K119" s="47">
        <v>1</v>
      </c>
      <c r="L119" s="48" t="s">
        <v>200</v>
      </c>
      <c r="M119" s="48" t="s">
        <v>27</v>
      </c>
      <c r="N119" s="48" t="s">
        <v>28</v>
      </c>
      <c r="O119" s="47">
        <v>200000</v>
      </c>
      <c r="P119" s="63">
        <f>O119</f>
        <v>200000</v>
      </c>
      <c r="Q119" s="63"/>
      <c r="R119" s="49"/>
      <c r="S119" s="49"/>
      <c r="T119" s="58"/>
      <c r="U119" s="49"/>
      <c r="V119" s="41"/>
    </row>
    <row r="120" spans="1:22">
      <c r="A120" s="54"/>
      <c r="B120" s="101"/>
      <c r="C120" s="4"/>
      <c r="D120" s="4"/>
      <c r="E120" s="47"/>
      <c r="F120" s="4"/>
      <c r="G120" s="4"/>
      <c r="H120" s="47"/>
      <c r="I120" s="48"/>
      <c r="J120" s="48"/>
      <c r="K120" s="47"/>
      <c r="L120" s="48"/>
      <c r="M120" s="48"/>
      <c r="N120" s="48"/>
      <c r="O120" s="47"/>
      <c r="P120" s="63"/>
      <c r="Q120" s="63"/>
      <c r="R120" s="49"/>
      <c r="S120" s="49"/>
      <c r="T120" s="58"/>
      <c r="U120" s="49"/>
      <c r="V120" s="41"/>
    </row>
    <row r="121" spans="1:22">
      <c r="A121" s="54">
        <v>3</v>
      </c>
      <c r="B121" s="3" t="s">
        <v>399</v>
      </c>
      <c r="C121" s="4"/>
      <c r="D121" s="4"/>
      <c r="E121" s="46"/>
      <c r="F121" s="52"/>
      <c r="G121" s="52"/>
      <c r="H121" s="4"/>
      <c r="I121" s="52"/>
      <c r="J121" s="75"/>
      <c r="K121" s="4"/>
      <c r="L121" s="52"/>
      <c r="M121" s="75"/>
      <c r="N121" s="52"/>
      <c r="O121" s="76"/>
      <c r="P121" s="63"/>
      <c r="Q121" s="63"/>
      <c r="R121" s="63"/>
      <c r="S121" s="63"/>
      <c r="T121" s="65"/>
      <c r="U121" s="49"/>
      <c r="V121" s="41">
        <f>SUM(U125:U166)</f>
        <v>75000000</v>
      </c>
    </row>
    <row r="122" spans="1:22" s="338" customFormat="1">
      <c r="A122" s="152"/>
      <c r="B122" s="339"/>
      <c r="C122" s="153"/>
      <c r="D122" s="153"/>
      <c r="E122" s="154"/>
      <c r="F122" s="153"/>
      <c r="G122" s="153"/>
      <c r="H122" s="47"/>
      <c r="I122" s="48"/>
      <c r="J122" s="48"/>
      <c r="K122" s="47"/>
      <c r="L122" s="48"/>
      <c r="M122" s="48"/>
      <c r="N122" s="48"/>
      <c r="O122" s="47"/>
      <c r="P122" s="63"/>
      <c r="Q122" s="63"/>
      <c r="R122" s="49"/>
      <c r="S122" s="49"/>
      <c r="T122" s="58"/>
      <c r="U122" s="49"/>
      <c r="V122" s="337"/>
    </row>
    <row r="123" spans="1:22">
      <c r="A123" s="54" t="s">
        <v>49</v>
      </c>
      <c r="B123" s="3" t="s">
        <v>501</v>
      </c>
      <c r="C123" s="4"/>
      <c r="D123" s="4"/>
      <c r="E123" s="46"/>
      <c r="F123" s="52"/>
      <c r="G123" s="52"/>
      <c r="H123" s="4"/>
      <c r="I123" s="52"/>
      <c r="J123" s="75"/>
      <c r="K123" s="4"/>
      <c r="L123" s="52"/>
      <c r="M123" s="75"/>
      <c r="N123" s="52"/>
      <c r="O123" s="329"/>
      <c r="P123" s="63"/>
      <c r="Q123" s="63"/>
      <c r="R123" s="63"/>
      <c r="S123" s="63"/>
      <c r="T123" s="65"/>
      <c r="U123" s="49"/>
      <c r="V123" s="41"/>
    </row>
    <row r="124" spans="1:22">
      <c r="A124" s="54"/>
      <c r="B124" s="55" t="s">
        <v>42</v>
      </c>
      <c r="C124" s="4"/>
      <c r="D124" s="4"/>
      <c r="E124" s="47"/>
      <c r="F124" s="4"/>
      <c r="G124" s="4"/>
      <c r="H124" s="47"/>
      <c r="I124" s="48"/>
      <c r="J124" s="48"/>
      <c r="K124" s="47"/>
      <c r="L124" s="48"/>
      <c r="M124" s="48"/>
      <c r="N124" s="48"/>
      <c r="O124" s="47"/>
      <c r="P124" s="49">
        <f>O124*K124</f>
        <v>0</v>
      </c>
      <c r="Q124" s="49"/>
      <c r="R124" s="49"/>
      <c r="S124" s="49"/>
      <c r="T124" s="49"/>
      <c r="U124" s="49">
        <f t="shared" ref="U124:U125" si="23">SUM(P124:T124)</f>
        <v>0</v>
      </c>
      <c r="V124" s="29">
        <f>SUM(U125:U137)</f>
        <v>27860000</v>
      </c>
    </row>
    <row r="125" spans="1:22">
      <c r="A125" s="54"/>
      <c r="B125" s="100" t="s">
        <v>537</v>
      </c>
      <c r="C125" s="4"/>
      <c r="D125" s="4"/>
      <c r="E125" s="47"/>
      <c r="F125" s="4"/>
      <c r="G125" s="4"/>
      <c r="H125" s="47">
        <v>10</v>
      </c>
      <c r="I125" s="48" t="s">
        <v>30</v>
      </c>
      <c r="J125" s="48" t="s">
        <v>27</v>
      </c>
      <c r="K125" s="47">
        <v>3</v>
      </c>
      <c r="L125" s="48" t="s">
        <v>26</v>
      </c>
      <c r="M125" s="48" t="s">
        <v>27</v>
      </c>
      <c r="N125" s="48" t="s">
        <v>28</v>
      </c>
      <c r="O125" s="47">
        <v>50000</v>
      </c>
      <c r="P125" s="63">
        <f t="shared" ref="P125" si="24">O125*K125*H125</f>
        <v>1500000</v>
      </c>
      <c r="Q125" s="63"/>
      <c r="R125" s="63"/>
      <c r="S125" s="63"/>
      <c r="T125" s="49"/>
      <c r="U125" s="49">
        <f t="shared" si="23"/>
        <v>1500000</v>
      </c>
      <c r="V125" s="29"/>
    </row>
    <row r="126" spans="1:22">
      <c r="A126" s="54"/>
      <c r="B126" s="101" t="s">
        <v>538</v>
      </c>
      <c r="C126" s="4"/>
      <c r="D126" s="4"/>
      <c r="E126" s="47"/>
      <c r="F126" s="4"/>
      <c r="G126" s="4"/>
      <c r="H126" s="47"/>
      <c r="I126" s="48"/>
      <c r="J126" s="48"/>
      <c r="K126" s="47">
        <v>1</v>
      </c>
      <c r="L126" s="48" t="s">
        <v>26</v>
      </c>
      <c r="M126" s="48" t="s">
        <v>27</v>
      </c>
      <c r="N126" s="48" t="s">
        <v>28</v>
      </c>
      <c r="O126" s="47">
        <v>500000</v>
      </c>
      <c r="P126" s="63">
        <f>O126</f>
        <v>500000</v>
      </c>
      <c r="Q126" s="63"/>
      <c r="R126" s="49"/>
      <c r="S126" s="49"/>
      <c r="T126" s="58"/>
      <c r="U126" s="49">
        <f>SUM(P126:T126)</f>
        <v>500000</v>
      </c>
      <c r="V126" s="41"/>
    </row>
    <row r="127" spans="1:22">
      <c r="A127" s="54"/>
      <c r="B127" s="3"/>
      <c r="C127" s="4"/>
      <c r="D127" s="4"/>
      <c r="E127" s="46"/>
      <c r="F127" s="52"/>
      <c r="G127" s="52"/>
      <c r="H127" s="4"/>
      <c r="I127" s="52"/>
      <c r="J127" s="75"/>
      <c r="K127" s="4"/>
      <c r="L127" s="52"/>
      <c r="M127" s="75"/>
      <c r="N127" s="52"/>
      <c r="O127" s="329"/>
      <c r="P127" s="63"/>
      <c r="Q127" s="63"/>
      <c r="R127" s="63"/>
      <c r="S127" s="63"/>
      <c r="T127" s="65"/>
      <c r="U127" s="49"/>
      <c r="V127" s="41"/>
    </row>
    <row r="128" spans="1:22" s="73" customFormat="1" ht="13.8">
      <c r="A128" s="66"/>
      <c r="B128" s="55" t="s">
        <v>51</v>
      </c>
      <c r="C128" s="4"/>
      <c r="D128" s="4"/>
      <c r="E128" s="47"/>
      <c r="F128" s="4"/>
      <c r="G128" s="4"/>
      <c r="H128" s="47"/>
      <c r="I128" s="48"/>
      <c r="J128" s="48"/>
      <c r="K128" s="47"/>
      <c r="L128" s="48"/>
      <c r="M128" s="48"/>
      <c r="N128" s="48"/>
      <c r="O128" s="47"/>
      <c r="P128" s="70"/>
      <c r="Q128" s="70"/>
      <c r="R128" s="71"/>
      <c r="S128" s="71"/>
      <c r="T128" s="72"/>
      <c r="U128" s="49"/>
      <c r="V128" s="94"/>
    </row>
    <row r="129" spans="1:22" s="73" customFormat="1" ht="13.8">
      <c r="A129" s="66"/>
      <c r="B129" s="99" t="s">
        <v>556</v>
      </c>
      <c r="C129" s="4"/>
      <c r="D129" s="4"/>
      <c r="E129" s="47"/>
      <c r="F129" s="4"/>
      <c r="G129" s="4"/>
      <c r="H129" s="47"/>
      <c r="I129" s="48"/>
      <c r="J129" s="48"/>
      <c r="K129" s="47"/>
      <c r="L129" s="48"/>
      <c r="M129" s="48"/>
      <c r="N129" s="48"/>
      <c r="O129" s="47"/>
      <c r="P129" s="70"/>
      <c r="Q129" s="70"/>
      <c r="R129" s="71"/>
      <c r="S129" s="71"/>
      <c r="T129" s="72"/>
      <c r="U129" s="49"/>
      <c r="V129" s="94"/>
    </row>
    <row r="130" spans="1:22">
      <c r="A130" s="54"/>
      <c r="B130" s="103" t="s">
        <v>401</v>
      </c>
      <c r="C130" s="4"/>
      <c r="D130" s="4"/>
      <c r="E130" s="47"/>
      <c r="F130" s="47"/>
      <c r="G130" s="48"/>
      <c r="H130" s="47">
        <v>3</v>
      </c>
      <c r="I130" s="48" t="s">
        <v>30</v>
      </c>
      <c r="J130" s="48" t="s">
        <v>27</v>
      </c>
      <c r="K130" s="47">
        <v>1</v>
      </c>
      <c r="L130" s="48" t="s">
        <v>26</v>
      </c>
      <c r="M130" s="48" t="s">
        <v>27</v>
      </c>
      <c r="N130" s="48" t="s">
        <v>28</v>
      </c>
      <c r="O130" s="47">
        <v>500000</v>
      </c>
      <c r="P130" s="63"/>
      <c r="Q130" s="63"/>
      <c r="R130" s="49">
        <f>H130*K130*O130</f>
        <v>1500000</v>
      </c>
      <c r="S130" s="49"/>
      <c r="T130" s="58"/>
      <c r="U130" s="49">
        <f t="shared" ref="U130" si="25">SUM(P130:T130)</f>
        <v>1500000</v>
      </c>
      <c r="V130" s="41"/>
    </row>
    <row r="131" spans="1:22" s="73" customFormat="1" ht="13.8">
      <c r="A131" s="66"/>
      <c r="B131" s="103" t="s">
        <v>53</v>
      </c>
      <c r="C131" s="4"/>
      <c r="D131" s="4"/>
      <c r="E131" s="47"/>
      <c r="F131" s="47"/>
      <c r="G131" s="48"/>
      <c r="H131" s="47">
        <v>3</v>
      </c>
      <c r="I131" s="48" t="s">
        <v>30</v>
      </c>
      <c r="J131" s="48" t="s">
        <v>27</v>
      </c>
      <c r="K131" s="47">
        <v>4</v>
      </c>
      <c r="L131" s="48" t="s">
        <v>31</v>
      </c>
      <c r="M131" s="48" t="s">
        <v>27</v>
      </c>
      <c r="N131" s="48" t="s">
        <v>28</v>
      </c>
      <c r="O131" s="47">
        <v>430000</v>
      </c>
      <c r="P131" s="70"/>
      <c r="Q131" s="70"/>
      <c r="R131" s="49">
        <f>H131*K131*O131</f>
        <v>5160000</v>
      </c>
      <c r="S131" s="71"/>
      <c r="T131" s="72"/>
      <c r="U131" s="49">
        <f t="shared" ref="U131" si="26">SUM(P131:T131)</f>
        <v>5160000</v>
      </c>
      <c r="V131" s="94"/>
    </row>
    <row r="132" spans="1:22" s="5" customFormat="1" ht="13.8">
      <c r="A132" s="6"/>
      <c r="B132" s="103" t="s">
        <v>173</v>
      </c>
      <c r="C132" s="4"/>
      <c r="D132" s="4"/>
      <c r="E132" s="47"/>
      <c r="F132" s="47"/>
      <c r="G132" s="48"/>
      <c r="H132" s="47">
        <v>3</v>
      </c>
      <c r="I132" s="48" t="s">
        <v>30</v>
      </c>
      <c r="J132" s="48" t="s">
        <v>27</v>
      </c>
      <c r="K132" s="47">
        <v>3</v>
      </c>
      <c r="L132" s="48" t="s">
        <v>31</v>
      </c>
      <c r="M132" s="48" t="s">
        <v>27</v>
      </c>
      <c r="N132" s="48" t="s">
        <v>28</v>
      </c>
      <c r="O132" s="47">
        <v>300000</v>
      </c>
      <c r="P132" s="9"/>
      <c r="Q132" s="9"/>
      <c r="R132" s="49">
        <f>H132*K132*O132</f>
        <v>2700000</v>
      </c>
      <c r="S132" s="9"/>
      <c r="T132" s="8"/>
      <c r="U132" s="49">
        <f t="shared" ref="U132" si="27">SUM(P132:T132)</f>
        <v>2700000</v>
      </c>
      <c r="V132" s="95"/>
    </row>
    <row r="133" spans="1:22" s="5" customFormat="1" ht="13.8">
      <c r="A133" s="6"/>
      <c r="B133" s="103"/>
      <c r="C133" s="4"/>
      <c r="D133" s="4"/>
      <c r="E133" s="47"/>
      <c r="F133" s="4"/>
      <c r="G133" s="4"/>
      <c r="H133" s="47"/>
      <c r="I133" s="48"/>
      <c r="J133" s="48"/>
      <c r="K133" s="47"/>
      <c r="L133" s="48"/>
      <c r="M133" s="48"/>
      <c r="N133" s="48"/>
      <c r="O133" s="47"/>
      <c r="P133" s="9"/>
      <c r="Q133" s="9"/>
      <c r="R133" s="49"/>
      <c r="S133" s="9"/>
      <c r="T133" s="8"/>
      <c r="U133" s="49"/>
      <c r="V133" s="95"/>
    </row>
    <row r="134" spans="1:22" s="5" customFormat="1" ht="13.8">
      <c r="A134" s="6" t="s">
        <v>50</v>
      </c>
      <c r="B134" s="122" t="s">
        <v>502</v>
      </c>
      <c r="C134" s="4"/>
      <c r="D134" s="4"/>
      <c r="E134" s="47"/>
      <c r="F134" s="4"/>
      <c r="G134" s="4"/>
      <c r="H134" s="47"/>
      <c r="I134" s="48"/>
      <c r="J134" s="48"/>
      <c r="K134" s="47"/>
      <c r="L134" s="48"/>
      <c r="M134" s="48"/>
      <c r="N134" s="48"/>
      <c r="O134" s="47"/>
      <c r="P134" s="9"/>
      <c r="Q134" s="9"/>
      <c r="R134" s="49"/>
      <c r="S134" s="9"/>
      <c r="T134" s="8"/>
      <c r="U134" s="49"/>
      <c r="V134" s="95"/>
    </row>
    <row r="135" spans="1:22" s="73" customFormat="1" ht="13.8">
      <c r="A135" s="66"/>
      <c r="B135" s="104" t="s">
        <v>42</v>
      </c>
      <c r="C135" s="4"/>
      <c r="D135" s="4"/>
      <c r="E135" s="47"/>
      <c r="F135" s="4"/>
      <c r="G135" s="4"/>
      <c r="H135" s="47"/>
      <c r="I135" s="48"/>
      <c r="J135" s="48"/>
      <c r="K135" s="47"/>
      <c r="L135" s="48"/>
      <c r="M135" s="48"/>
      <c r="N135" s="48"/>
      <c r="O135" s="47"/>
      <c r="P135" s="70"/>
      <c r="Q135" s="70"/>
      <c r="R135" s="71"/>
      <c r="S135" s="71"/>
      <c r="T135" s="72"/>
      <c r="U135" s="49"/>
      <c r="V135" s="94"/>
    </row>
    <row r="136" spans="1:22" s="5" customFormat="1" ht="13.8">
      <c r="A136" s="6"/>
      <c r="B136" s="101" t="s">
        <v>473</v>
      </c>
      <c r="C136" s="4"/>
      <c r="D136" s="4"/>
      <c r="E136" s="47"/>
      <c r="F136" s="4"/>
      <c r="G136" s="4"/>
      <c r="H136" s="47">
        <v>50</v>
      </c>
      <c r="I136" s="48" t="s">
        <v>30</v>
      </c>
      <c r="J136" s="48" t="s">
        <v>27</v>
      </c>
      <c r="K136" s="47">
        <v>1</v>
      </c>
      <c r="L136" s="48" t="s">
        <v>31</v>
      </c>
      <c r="M136" s="48" t="s">
        <v>27</v>
      </c>
      <c r="N136" s="48" t="s">
        <v>28</v>
      </c>
      <c r="O136" s="47">
        <v>180000</v>
      </c>
      <c r="P136" s="63">
        <f t="shared" ref="P136:P137" si="28">O136*K136*H136</f>
        <v>9000000</v>
      </c>
      <c r="Q136" s="63"/>
      <c r="R136" s="9"/>
      <c r="S136" s="9"/>
      <c r="T136" s="8"/>
      <c r="U136" s="49">
        <f>SUM(P136:T136)</f>
        <v>9000000</v>
      </c>
      <c r="V136" s="95"/>
    </row>
    <row r="137" spans="1:22">
      <c r="A137" s="54"/>
      <c r="B137" s="101" t="s">
        <v>76</v>
      </c>
      <c r="C137" s="4"/>
      <c r="D137" s="4"/>
      <c r="E137" s="47"/>
      <c r="F137" s="4"/>
      <c r="G137" s="4"/>
      <c r="H137" s="47">
        <v>50</v>
      </c>
      <c r="I137" s="48" t="s">
        <v>30</v>
      </c>
      <c r="J137" s="48" t="s">
        <v>27</v>
      </c>
      <c r="K137" s="47">
        <v>1</v>
      </c>
      <c r="L137" s="48" t="s">
        <v>26</v>
      </c>
      <c r="M137" s="48" t="s">
        <v>27</v>
      </c>
      <c r="N137" s="48" t="s">
        <v>28</v>
      </c>
      <c r="O137" s="47">
        <v>150000</v>
      </c>
      <c r="P137" s="63">
        <f t="shared" si="28"/>
        <v>7500000</v>
      </c>
      <c r="Q137" s="63"/>
      <c r="R137" s="49"/>
      <c r="S137" s="49"/>
      <c r="T137" s="58"/>
      <c r="U137" s="49">
        <f>SUM(P137:T137)</f>
        <v>7500000</v>
      </c>
      <c r="V137" s="41"/>
    </row>
    <row r="138" spans="1:22">
      <c r="A138" s="54"/>
      <c r="B138" s="101" t="s">
        <v>75</v>
      </c>
      <c r="C138" s="4"/>
      <c r="D138" s="4"/>
      <c r="E138" s="47"/>
      <c r="F138" s="4"/>
      <c r="G138" s="4"/>
      <c r="H138" s="47">
        <v>2</v>
      </c>
      <c r="I138" s="48" t="s">
        <v>47</v>
      </c>
      <c r="J138" s="48" t="s">
        <v>27</v>
      </c>
      <c r="K138" s="47">
        <v>1</v>
      </c>
      <c r="L138" s="48" t="s">
        <v>26</v>
      </c>
      <c r="M138" s="48" t="s">
        <v>27</v>
      </c>
      <c r="N138" s="48" t="s">
        <v>28</v>
      </c>
      <c r="O138" s="47">
        <v>500000</v>
      </c>
      <c r="P138" s="63">
        <f>O138*K138*H138</f>
        <v>1000000</v>
      </c>
      <c r="Q138" s="63"/>
      <c r="R138" s="63"/>
      <c r="S138" s="63"/>
      <c r="T138" s="65"/>
      <c r="U138" s="49">
        <f>SUM(P138:T138)</f>
        <v>1000000</v>
      </c>
      <c r="V138" s="41"/>
    </row>
    <row r="139" spans="1:22">
      <c r="A139" s="54"/>
      <c r="B139" s="101"/>
      <c r="C139" s="4"/>
      <c r="D139" s="4"/>
      <c r="E139" s="47"/>
      <c r="F139" s="4"/>
      <c r="G139" s="4"/>
      <c r="H139" s="47"/>
      <c r="I139" s="48"/>
      <c r="J139" s="48"/>
      <c r="K139" s="47"/>
      <c r="L139" s="48"/>
      <c r="M139" s="48"/>
      <c r="N139" s="48"/>
      <c r="O139" s="47"/>
      <c r="P139" s="63"/>
      <c r="Q139" s="63"/>
      <c r="R139" s="49"/>
      <c r="S139" s="49"/>
      <c r="T139" s="58"/>
      <c r="U139" s="49"/>
      <c r="V139" s="41"/>
    </row>
    <row r="140" spans="1:22" s="73" customFormat="1" ht="13.8">
      <c r="A140" s="66"/>
      <c r="B140" s="104" t="s">
        <v>64</v>
      </c>
      <c r="C140" s="4"/>
      <c r="D140" s="4"/>
      <c r="E140" s="47"/>
      <c r="F140" s="4"/>
      <c r="G140" s="4"/>
      <c r="H140" s="47"/>
      <c r="I140" s="48"/>
      <c r="J140" s="48"/>
      <c r="K140" s="47"/>
      <c r="L140" s="48"/>
      <c r="M140" s="48"/>
      <c r="N140" s="48"/>
      <c r="O140" s="47"/>
      <c r="P140" s="70"/>
      <c r="Q140" s="70"/>
      <c r="R140" s="71"/>
      <c r="S140" s="71"/>
      <c r="T140" s="72"/>
      <c r="U140" s="49"/>
      <c r="V140" s="94"/>
    </row>
    <row r="141" spans="1:22" s="73" customFormat="1" ht="13.8">
      <c r="A141" s="66"/>
      <c r="B141" s="101" t="s">
        <v>77</v>
      </c>
      <c r="C141" s="4"/>
      <c r="D141" s="4"/>
      <c r="E141" s="47"/>
      <c r="F141" s="4"/>
      <c r="G141" s="4"/>
      <c r="H141" s="47">
        <v>5</v>
      </c>
      <c r="I141" s="48" t="s">
        <v>30</v>
      </c>
      <c r="J141" s="48" t="s">
        <v>27</v>
      </c>
      <c r="K141" s="47">
        <v>1</v>
      </c>
      <c r="L141" s="48" t="s">
        <v>78</v>
      </c>
      <c r="M141" s="48" t="s">
        <v>27</v>
      </c>
      <c r="N141" s="48" t="s">
        <v>28</v>
      </c>
      <c r="O141" s="47">
        <v>1000000</v>
      </c>
      <c r="P141" s="70"/>
      <c r="Q141" s="70"/>
      <c r="R141" s="71"/>
      <c r="S141" s="71">
        <f>H141*K141*O141</f>
        <v>5000000</v>
      </c>
      <c r="T141" s="72"/>
      <c r="U141" s="49">
        <f>SUM(P141:T141)</f>
        <v>5000000</v>
      </c>
      <c r="V141" s="94"/>
    </row>
    <row r="142" spans="1:22">
      <c r="A142" s="54"/>
      <c r="B142" s="101" t="s">
        <v>74</v>
      </c>
      <c r="C142" s="67"/>
      <c r="D142" s="67"/>
      <c r="E142" s="68"/>
      <c r="F142" s="67"/>
      <c r="G142" s="67"/>
      <c r="H142" s="47">
        <v>1</v>
      </c>
      <c r="I142" s="48" t="s">
        <v>30</v>
      </c>
      <c r="J142" s="48" t="s">
        <v>27</v>
      </c>
      <c r="K142" s="47">
        <v>5</v>
      </c>
      <c r="L142" s="48" t="s">
        <v>78</v>
      </c>
      <c r="M142" s="48" t="s">
        <v>27</v>
      </c>
      <c r="N142" s="48" t="s">
        <v>28</v>
      </c>
      <c r="O142" s="47">
        <v>500000</v>
      </c>
      <c r="P142" s="63"/>
      <c r="Q142" s="63"/>
      <c r="R142" s="65"/>
      <c r="S142" s="71">
        <f>H142*K142*O142</f>
        <v>2500000</v>
      </c>
      <c r="T142" s="65"/>
      <c r="U142" s="49">
        <f>SUM(P142:T142)</f>
        <v>2500000</v>
      </c>
      <c r="V142" s="41"/>
    </row>
    <row r="143" spans="1:22" s="73" customFormat="1" ht="13.8">
      <c r="A143" s="340"/>
      <c r="B143" s="341"/>
      <c r="C143" s="78"/>
      <c r="D143" s="78"/>
      <c r="E143" s="34"/>
      <c r="F143" s="78"/>
      <c r="G143" s="78"/>
      <c r="H143" s="34"/>
      <c r="I143" s="327"/>
      <c r="J143" s="327"/>
      <c r="K143" s="34"/>
      <c r="L143" s="327"/>
      <c r="M143" s="327"/>
      <c r="N143" s="327"/>
      <c r="O143" s="34"/>
      <c r="P143" s="342"/>
      <c r="Q143" s="342"/>
      <c r="R143" s="343"/>
      <c r="S143" s="343"/>
      <c r="T143" s="344"/>
      <c r="U143" s="328"/>
      <c r="V143" s="94"/>
    </row>
    <row r="144" spans="1:22">
      <c r="A144" s="54"/>
      <c r="B144" s="309" t="s">
        <v>553</v>
      </c>
      <c r="C144" s="4"/>
      <c r="D144" s="4"/>
      <c r="E144" s="47"/>
      <c r="F144" s="4"/>
      <c r="G144" s="4"/>
      <c r="H144" s="47"/>
      <c r="I144" s="48"/>
      <c r="J144" s="48"/>
      <c r="K144" s="47"/>
      <c r="L144" s="48"/>
      <c r="M144" s="48"/>
      <c r="N144" s="48"/>
      <c r="O144" s="47"/>
      <c r="P144" s="63"/>
      <c r="Q144" s="63"/>
      <c r="R144" s="63"/>
      <c r="S144" s="63"/>
      <c r="T144" s="65"/>
      <c r="U144" s="49"/>
      <c r="V144" s="41"/>
    </row>
    <row r="145" spans="1:22">
      <c r="A145" s="54"/>
      <c r="B145" s="103" t="s">
        <v>402</v>
      </c>
      <c r="C145" s="4"/>
      <c r="D145" s="4"/>
      <c r="E145" s="47"/>
      <c r="F145" s="4"/>
      <c r="G145" s="4"/>
      <c r="H145" s="47"/>
      <c r="I145" s="48"/>
      <c r="J145" s="48"/>
      <c r="K145" s="47"/>
      <c r="L145" s="48"/>
      <c r="M145" s="48"/>
      <c r="N145" s="48"/>
      <c r="O145" s="47"/>
      <c r="P145" s="63"/>
      <c r="Q145" s="63"/>
      <c r="R145" s="49"/>
      <c r="S145" s="49"/>
      <c r="T145" s="58"/>
      <c r="U145" s="49"/>
      <c r="V145" s="41">
        <f>SUM(U146:U166)</f>
        <v>38640000</v>
      </c>
    </row>
    <row r="146" spans="1:22">
      <c r="A146" s="54"/>
      <c r="B146" s="345" t="s">
        <v>403</v>
      </c>
      <c r="C146" s="4"/>
      <c r="D146" s="4"/>
      <c r="E146" s="47"/>
      <c r="F146" s="4"/>
      <c r="G146" s="4"/>
      <c r="H146" s="47">
        <v>2</v>
      </c>
      <c r="I146" s="48" t="s">
        <v>30</v>
      </c>
      <c r="J146" s="48" t="s">
        <v>27</v>
      </c>
      <c r="K146" s="47">
        <v>1</v>
      </c>
      <c r="L146" s="48" t="s">
        <v>26</v>
      </c>
      <c r="M146" s="48" t="s">
        <v>27</v>
      </c>
      <c r="N146" s="48" t="s">
        <v>28</v>
      </c>
      <c r="O146" s="47">
        <v>500000</v>
      </c>
      <c r="P146" s="63"/>
      <c r="Q146" s="63">
        <f>O146*K146*H146</f>
        <v>1000000</v>
      </c>
      <c r="R146" s="49"/>
      <c r="S146" s="49"/>
      <c r="T146" s="58"/>
      <c r="U146" s="49">
        <f t="shared" ref="U146:U150" si="29">SUM(P146:T146)</f>
        <v>1000000</v>
      </c>
      <c r="V146" s="41"/>
    </row>
    <row r="147" spans="1:22" s="338" customFormat="1">
      <c r="A147" s="346"/>
      <c r="B147" s="347" t="s">
        <v>404</v>
      </c>
      <c r="C147" s="348"/>
      <c r="D147" s="348"/>
      <c r="E147" s="349"/>
      <c r="F147" s="348"/>
      <c r="G147" s="348"/>
      <c r="H147" s="303">
        <v>42</v>
      </c>
      <c r="I147" s="304" t="s">
        <v>30</v>
      </c>
      <c r="J147" s="304" t="s">
        <v>27</v>
      </c>
      <c r="K147" s="303">
        <v>1</v>
      </c>
      <c r="L147" s="304" t="s">
        <v>26</v>
      </c>
      <c r="M147" s="304" t="s">
        <v>27</v>
      </c>
      <c r="N147" s="304" t="s">
        <v>28</v>
      </c>
      <c r="O147" s="303">
        <v>150000</v>
      </c>
      <c r="P147" s="350"/>
      <c r="Q147" s="63">
        <f t="shared" ref="Q147:Q151" si="30">O147*K147*H147</f>
        <v>6300000</v>
      </c>
      <c r="R147" s="49"/>
      <c r="S147" s="351"/>
      <c r="T147" s="352"/>
      <c r="U147" s="351">
        <f t="shared" si="29"/>
        <v>6300000</v>
      </c>
      <c r="V147" s="337"/>
    </row>
    <row r="148" spans="1:22" s="355" customFormat="1" ht="13.8">
      <c r="A148" s="66"/>
      <c r="B148" s="353" t="s">
        <v>405</v>
      </c>
      <c r="C148" s="4"/>
      <c r="D148" s="4"/>
      <c r="E148" s="47"/>
      <c r="F148" s="4"/>
      <c r="G148" s="4"/>
      <c r="H148" s="47">
        <v>2</v>
      </c>
      <c r="I148" s="304" t="s">
        <v>30</v>
      </c>
      <c r="J148" s="304" t="s">
        <v>27</v>
      </c>
      <c r="K148" s="303">
        <v>1</v>
      </c>
      <c r="L148" s="304" t="s">
        <v>26</v>
      </c>
      <c r="M148" s="304" t="s">
        <v>27</v>
      </c>
      <c r="N148" s="304" t="s">
        <v>28</v>
      </c>
      <c r="O148" s="57">
        <v>500000</v>
      </c>
      <c r="P148" s="70"/>
      <c r="Q148" s="63">
        <f t="shared" si="30"/>
        <v>1000000</v>
      </c>
      <c r="R148" s="49"/>
      <c r="S148" s="71"/>
      <c r="T148" s="72"/>
      <c r="U148" s="351">
        <f t="shared" si="29"/>
        <v>1000000</v>
      </c>
      <c r="V148" s="354"/>
    </row>
    <row r="149" spans="1:22" s="355" customFormat="1" ht="13.8">
      <c r="A149" s="66"/>
      <c r="B149" s="353" t="s">
        <v>406</v>
      </c>
      <c r="C149" s="4"/>
      <c r="D149" s="4"/>
      <c r="E149" s="47"/>
      <c r="F149" s="4"/>
      <c r="G149" s="4"/>
      <c r="H149" s="47">
        <v>2</v>
      </c>
      <c r="I149" s="304" t="s">
        <v>30</v>
      </c>
      <c r="J149" s="304" t="s">
        <v>27</v>
      </c>
      <c r="K149" s="303">
        <v>1</v>
      </c>
      <c r="L149" s="304" t="s">
        <v>26</v>
      </c>
      <c r="M149" s="304" t="s">
        <v>27</v>
      </c>
      <c r="N149" s="304" t="s">
        <v>28</v>
      </c>
      <c r="O149" s="57">
        <v>500000</v>
      </c>
      <c r="P149" s="70"/>
      <c r="Q149" s="63">
        <f t="shared" si="30"/>
        <v>1000000</v>
      </c>
      <c r="R149" s="49"/>
      <c r="S149" s="71"/>
      <c r="T149" s="72"/>
      <c r="U149" s="351">
        <f t="shared" si="29"/>
        <v>1000000</v>
      </c>
      <c r="V149" s="354"/>
    </row>
    <row r="150" spans="1:22" s="355" customFormat="1" ht="13.8">
      <c r="A150" s="66"/>
      <c r="B150" s="353" t="s">
        <v>407</v>
      </c>
      <c r="C150" s="4"/>
      <c r="D150" s="4"/>
      <c r="E150" s="47"/>
      <c r="F150" s="4"/>
      <c r="G150" s="4"/>
      <c r="H150" s="47">
        <v>2</v>
      </c>
      <c r="I150" s="48" t="s">
        <v>30</v>
      </c>
      <c r="J150" s="48" t="s">
        <v>27</v>
      </c>
      <c r="K150" s="47">
        <v>1</v>
      </c>
      <c r="L150" s="48" t="s">
        <v>26</v>
      </c>
      <c r="M150" s="48" t="s">
        <v>27</v>
      </c>
      <c r="N150" s="48" t="s">
        <v>28</v>
      </c>
      <c r="O150" s="57">
        <v>500000</v>
      </c>
      <c r="P150" s="70"/>
      <c r="Q150" s="63">
        <f t="shared" si="30"/>
        <v>1000000</v>
      </c>
      <c r="R150" s="49"/>
      <c r="S150" s="71"/>
      <c r="T150" s="72"/>
      <c r="U150" s="351">
        <f t="shared" si="29"/>
        <v>1000000</v>
      </c>
      <c r="V150" s="354"/>
    </row>
    <row r="151" spans="1:22">
      <c r="A151" s="54"/>
      <c r="B151" s="387" t="s">
        <v>474</v>
      </c>
      <c r="C151" s="56"/>
      <c r="D151" s="4"/>
      <c r="E151" s="4"/>
      <c r="F151" s="4"/>
      <c r="G151" s="4"/>
      <c r="H151" s="47">
        <v>50</v>
      </c>
      <c r="I151" s="48" t="s">
        <v>30</v>
      </c>
      <c r="J151" s="48" t="s">
        <v>27</v>
      </c>
      <c r="K151" s="47">
        <v>1</v>
      </c>
      <c r="L151" s="48" t="s">
        <v>26</v>
      </c>
      <c r="M151" s="48" t="s">
        <v>27</v>
      </c>
      <c r="N151" s="48" t="s">
        <v>28</v>
      </c>
      <c r="O151" s="47">
        <v>110000</v>
      </c>
      <c r="P151" s="63"/>
      <c r="Q151" s="63">
        <f t="shared" si="30"/>
        <v>5500000</v>
      </c>
      <c r="R151" s="63"/>
      <c r="S151" s="63"/>
      <c r="T151" s="65"/>
      <c r="U151" s="49">
        <f>SUM(P151:T151)</f>
        <v>5500000</v>
      </c>
      <c r="V151" s="41"/>
    </row>
    <row r="152" spans="1:22">
      <c r="A152" s="54"/>
      <c r="B152" s="101"/>
      <c r="C152" s="56"/>
      <c r="D152" s="4"/>
      <c r="E152" s="4"/>
      <c r="F152" s="4"/>
      <c r="G152" s="4"/>
      <c r="H152" s="47"/>
      <c r="I152" s="48"/>
      <c r="J152" s="48"/>
      <c r="K152" s="47"/>
      <c r="L152" s="48"/>
      <c r="M152" s="48"/>
      <c r="N152" s="48"/>
      <c r="O152" s="47"/>
      <c r="P152" s="63"/>
      <c r="Q152" s="63"/>
      <c r="R152" s="63"/>
      <c r="S152" s="63"/>
      <c r="T152" s="65"/>
      <c r="U152" s="49"/>
      <c r="V152" s="41"/>
    </row>
    <row r="153" spans="1:22" s="73" customFormat="1" ht="13.8">
      <c r="A153" s="66"/>
      <c r="B153" s="55" t="s">
        <v>51</v>
      </c>
      <c r="C153" s="4"/>
      <c r="D153" s="4"/>
      <c r="E153" s="47"/>
      <c r="F153" s="4"/>
      <c r="G153" s="4"/>
      <c r="H153" s="47"/>
      <c r="I153" s="48"/>
      <c r="J153" s="48"/>
      <c r="K153" s="47"/>
      <c r="L153" s="48"/>
      <c r="M153" s="48"/>
      <c r="N153" s="48"/>
      <c r="O153" s="47"/>
      <c r="P153" s="70"/>
      <c r="Q153" s="70"/>
      <c r="R153" s="71"/>
      <c r="S153" s="71"/>
      <c r="T153" s="72"/>
      <c r="U153" s="49"/>
      <c r="V153" s="94"/>
    </row>
    <row r="154" spans="1:22" s="73" customFormat="1" ht="13.8">
      <c r="A154" s="66"/>
      <c r="B154" s="99" t="s">
        <v>400</v>
      </c>
      <c r="C154" s="4"/>
      <c r="D154" s="4"/>
      <c r="E154" s="47"/>
      <c r="F154" s="4"/>
      <c r="G154" s="4"/>
      <c r="H154" s="47"/>
      <c r="I154" s="48"/>
      <c r="J154" s="48"/>
      <c r="K154" s="47"/>
      <c r="L154" s="48"/>
      <c r="M154" s="48"/>
      <c r="N154" s="48"/>
      <c r="O154" s="47"/>
      <c r="P154" s="70"/>
      <c r="Q154" s="70"/>
      <c r="R154" s="71"/>
      <c r="S154" s="71"/>
      <c r="T154" s="72"/>
      <c r="U154" s="49"/>
      <c r="V154" s="94"/>
    </row>
    <row r="155" spans="1:22">
      <c r="A155" s="54"/>
      <c r="B155" s="103" t="s">
        <v>401</v>
      </c>
      <c r="C155" s="4"/>
      <c r="D155" s="4"/>
      <c r="E155" s="47"/>
      <c r="F155" s="4"/>
      <c r="G155" s="4"/>
      <c r="H155" s="47">
        <v>6</v>
      </c>
      <c r="I155" s="48" t="s">
        <v>30</v>
      </c>
      <c r="J155" s="48" t="s">
        <v>27</v>
      </c>
      <c r="K155" s="47">
        <v>1</v>
      </c>
      <c r="L155" s="48" t="s">
        <v>26</v>
      </c>
      <c r="M155" s="48" t="s">
        <v>27</v>
      </c>
      <c r="N155" s="48" t="s">
        <v>28</v>
      </c>
      <c r="O155" s="47">
        <v>500000</v>
      </c>
      <c r="P155" s="63"/>
      <c r="Q155" s="63"/>
      <c r="R155" s="49">
        <f>H155*K155*O155</f>
        <v>3000000</v>
      </c>
      <c r="S155" s="49"/>
      <c r="T155" s="58"/>
      <c r="U155" s="49">
        <f>SUM(P155:T155)</f>
        <v>3000000</v>
      </c>
      <c r="V155" s="41"/>
    </row>
    <row r="156" spans="1:22" s="73" customFormat="1" ht="13.8">
      <c r="A156" s="66"/>
      <c r="B156" s="103" t="s">
        <v>53</v>
      </c>
      <c r="C156" s="4"/>
      <c r="D156" s="4"/>
      <c r="E156" s="47"/>
      <c r="F156" s="4"/>
      <c r="G156" s="4"/>
      <c r="H156" s="47">
        <v>6</v>
      </c>
      <c r="I156" s="48" t="s">
        <v>30</v>
      </c>
      <c r="J156" s="48" t="s">
        <v>27</v>
      </c>
      <c r="K156" s="47">
        <v>3</v>
      </c>
      <c r="L156" s="48" t="s">
        <v>31</v>
      </c>
      <c r="M156" s="48" t="s">
        <v>27</v>
      </c>
      <c r="N156" s="48" t="s">
        <v>28</v>
      </c>
      <c r="O156" s="47">
        <v>430000</v>
      </c>
      <c r="P156" s="70"/>
      <c r="Q156" s="70"/>
      <c r="R156" s="49">
        <f>H156*K156*O156</f>
        <v>7740000</v>
      </c>
      <c r="S156" s="71"/>
      <c r="T156" s="72"/>
      <c r="U156" s="49">
        <f t="shared" ref="U156" si="31">SUM(P156:T156)</f>
        <v>7740000</v>
      </c>
      <c r="V156" s="94"/>
    </row>
    <row r="157" spans="1:22" s="5" customFormat="1" ht="13.8">
      <c r="A157" s="6"/>
      <c r="B157" s="103" t="s">
        <v>173</v>
      </c>
      <c r="C157" s="4"/>
      <c r="D157" s="4"/>
      <c r="E157" s="47"/>
      <c r="F157" s="4"/>
      <c r="G157" s="4"/>
      <c r="H157" s="47">
        <v>6</v>
      </c>
      <c r="I157" s="48" t="s">
        <v>30</v>
      </c>
      <c r="J157" s="48" t="s">
        <v>27</v>
      </c>
      <c r="K157" s="47">
        <v>2</v>
      </c>
      <c r="L157" s="48" t="s">
        <v>31</v>
      </c>
      <c r="M157" s="48" t="s">
        <v>27</v>
      </c>
      <c r="N157" s="48" t="s">
        <v>28</v>
      </c>
      <c r="O157" s="47">
        <v>300000</v>
      </c>
      <c r="P157" s="9"/>
      <c r="Q157" s="9"/>
      <c r="R157" s="49">
        <f>H157*K157*O157</f>
        <v>3600000</v>
      </c>
      <c r="S157" s="9"/>
      <c r="T157" s="8"/>
      <c r="U157" s="49">
        <f t="shared" ref="U157" si="32">SUM(P157:T157)</f>
        <v>3600000</v>
      </c>
      <c r="V157" s="95"/>
    </row>
    <row r="158" spans="1:22" s="5" customFormat="1" ht="13.8">
      <c r="A158" s="6"/>
      <c r="B158" s="43"/>
      <c r="C158" s="4"/>
      <c r="D158" s="4"/>
      <c r="E158" s="47"/>
      <c r="F158" s="4"/>
      <c r="G158" s="4"/>
      <c r="H158" s="47"/>
      <c r="I158" s="48"/>
      <c r="J158" s="48"/>
      <c r="K158" s="47"/>
      <c r="L158" s="48"/>
      <c r="M158" s="48"/>
      <c r="N158" s="48"/>
      <c r="O158" s="47"/>
      <c r="P158" s="9"/>
      <c r="Q158" s="9"/>
      <c r="R158" s="49"/>
      <c r="S158" s="49"/>
      <c r="T158" s="9"/>
      <c r="U158" s="8">
        <f>SUM(P158:T158)</f>
        <v>0</v>
      </c>
      <c r="V158" s="95"/>
    </row>
    <row r="159" spans="1:22" s="73" customFormat="1" ht="13.8">
      <c r="A159" s="66"/>
      <c r="B159" s="99" t="s">
        <v>558</v>
      </c>
      <c r="C159" s="4"/>
      <c r="D159" s="4"/>
      <c r="E159" s="47"/>
      <c r="F159" s="4"/>
      <c r="G159" s="4"/>
      <c r="H159" s="47"/>
      <c r="I159" s="48"/>
      <c r="J159" s="48"/>
      <c r="K159" s="47"/>
      <c r="L159" s="48"/>
      <c r="M159" s="48"/>
      <c r="N159" s="48"/>
      <c r="O159" s="47"/>
      <c r="P159" s="70"/>
      <c r="Q159" s="70"/>
      <c r="R159" s="71"/>
      <c r="S159" s="71"/>
      <c r="T159" s="72"/>
      <c r="U159" s="49"/>
      <c r="V159" s="94"/>
    </row>
    <row r="160" spans="1:22">
      <c r="A160" s="54"/>
      <c r="B160" s="103" t="s">
        <v>401</v>
      </c>
      <c r="C160" s="4"/>
      <c r="D160" s="4"/>
      <c r="E160" s="47"/>
      <c r="F160" s="4"/>
      <c r="G160" s="4"/>
      <c r="H160" s="47">
        <v>5</v>
      </c>
      <c r="I160" s="48" t="s">
        <v>30</v>
      </c>
      <c r="J160" s="48" t="s">
        <v>27</v>
      </c>
      <c r="K160" s="47">
        <v>1</v>
      </c>
      <c r="L160" s="48" t="s">
        <v>26</v>
      </c>
      <c r="M160" s="48" t="s">
        <v>27</v>
      </c>
      <c r="N160" s="48" t="s">
        <v>28</v>
      </c>
      <c r="O160" s="47">
        <v>500000</v>
      </c>
      <c r="P160" s="63"/>
      <c r="Q160" s="63"/>
      <c r="R160" s="49">
        <f>H160*K160*O160</f>
        <v>2500000</v>
      </c>
      <c r="S160" s="49"/>
      <c r="T160" s="58"/>
      <c r="U160" s="49">
        <f t="shared" ref="U160:U162" si="33">SUM(P160:T160)</f>
        <v>2500000</v>
      </c>
      <c r="V160" s="41"/>
    </row>
    <row r="161" spans="1:22" s="73" customFormat="1" ht="13.8">
      <c r="A161" s="66"/>
      <c r="B161" s="103" t="s">
        <v>53</v>
      </c>
      <c r="C161" s="4"/>
      <c r="D161" s="4"/>
      <c r="E161" s="47"/>
      <c r="F161" s="4"/>
      <c r="G161" s="4"/>
      <c r="H161" s="47">
        <v>5</v>
      </c>
      <c r="I161" s="48" t="s">
        <v>30</v>
      </c>
      <c r="J161" s="48" t="s">
        <v>27</v>
      </c>
      <c r="K161" s="47">
        <v>2</v>
      </c>
      <c r="L161" s="48" t="s">
        <v>31</v>
      </c>
      <c r="M161" s="48" t="s">
        <v>27</v>
      </c>
      <c r="N161" s="48" t="s">
        <v>28</v>
      </c>
      <c r="O161" s="47">
        <v>430000</v>
      </c>
      <c r="P161" s="70"/>
      <c r="Q161" s="70"/>
      <c r="R161" s="49">
        <f>H161*K161*O161</f>
        <v>4300000</v>
      </c>
      <c r="S161" s="71"/>
      <c r="T161" s="72"/>
      <c r="U161" s="49">
        <f t="shared" si="33"/>
        <v>4300000</v>
      </c>
      <c r="V161" s="94"/>
    </row>
    <row r="162" spans="1:22" s="5" customFormat="1" ht="13.8">
      <c r="A162" s="6"/>
      <c r="B162" s="103" t="s">
        <v>173</v>
      </c>
      <c r="C162" s="4"/>
      <c r="D162" s="4"/>
      <c r="E162" s="47"/>
      <c r="F162" s="4"/>
      <c r="G162" s="4"/>
      <c r="H162" s="47">
        <v>5</v>
      </c>
      <c r="I162" s="48" t="s">
        <v>30</v>
      </c>
      <c r="J162" s="48" t="s">
        <v>27</v>
      </c>
      <c r="K162" s="47">
        <v>1</v>
      </c>
      <c r="L162" s="48" t="s">
        <v>31</v>
      </c>
      <c r="M162" s="48" t="s">
        <v>27</v>
      </c>
      <c r="N162" s="48" t="s">
        <v>28</v>
      </c>
      <c r="O162" s="47">
        <v>300000</v>
      </c>
      <c r="P162" s="9"/>
      <c r="Q162" s="9"/>
      <c r="R162" s="49">
        <f>H162*K162*O162</f>
        <v>1500000</v>
      </c>
      <c r="S162" s="9"/>
      <c r="T162" s="8"/>
      <c r="U162" s="49">
        <f t="shared" si="33"/>
        <v>1500000</v>
      </c>
      <c r="V162" s="95"/>
    </row>
    <row r="163" spans="1:22" s="5" customFormat="1" ht="13.8">
      <c r="A163" s="6"/>
      <c r="B163" s="43"/>
      <c r="C163" s="4"/>
      <c r="D163" s="4"/>
      <c r="E163" s="47"/>
      <c r="F163" s="4"/>
      <c r="G163" s="4"/>
      <c r="H163" s="47"/>
      <c r="I163" s="48"/>
      <c r="J163" s="48"/>
      <c r="K163" s="47"/>
      <c r="L163" s="48"/>
      <c r="M163" s="48"/>
      <c r="N163" s="48"/>
      <c r="O163" s="47"/>
      <c r="P163" s="9"/>
      <c r="Q163" s="9"/>
      <c r="R163" s="49"/>
      <c r="S163" s="49"/>
      <c r="T163" s="9"/>
      <c r="U163" s="8">
        <f>SUM(P163:T163)</f>
        <v>0</v>
      </c>
      <c r="V163" s="95"/>
    </row>
    <row r="164" spans="1:22" s="338" customFormat="1">
      <c r="A164" s="165" t="s">
        <v>55</v>
      </c>
      <c r="B164" s="390" t="s">
        <v>197</v>
      </c>
      <c r="C164" s="153"/>
      <c r="D164" s="153"/>
      <c r="E164" s="154"/>
      <c r="F164" s="153"/>
      <c r="G164" s="153"/>
      <c r="H164" s="47"/>
      <c r="I164" s="48"/>
      <c r="J164" s="48"/>
      <c r="K164" s="47"/>
      <c r="L164" s="48"/>
      <c r="M164" s="48"/>
      <c r="N164" s="48"/>
      <c r="O164" s="47"/>
      <c r="P164" s="63"/>
      <c r="Q164" s="63"/>
      <c r="R164" s="49"/>
      <c r="S164" s="49"/>
      <c r="T164" s="58"/>
      <c r="U164" s="49"/>
      <c r="V164" s="337"/>
    </row>
    <row r="165" spans="1:22" s="73" customFormat="1" ht="13.8">
      <c r="A165" s="66"/>
      <c r="B165" s="104" t="s">
        <v>42</v>
      </c>
      <c r="C165" s="4"/>
      <c r="D165" s="4"/>
      <c r="E165" s="47"/>
      <c r="F165" s="4"/>
      <c r="G165" s="4"/>
      <c r="H165" s="47"/>
      <c r="I165" s="48"/>
      <c r="J165" s="48"/>
      <c r="K165" s="47"/>
      <c r="L165" s="48"/>
      <c r="M165" s="48"/>
      <c r="N165" s="48"/>
      <c r="O165" s="47"/>
      <c r="P165" s="70"/>
      <c r="Q165" s="70"/>
      <c r="R165" s="71"/>
      <c r="S165" s="71"/>
      <c r="T165" s="72"/>
      <c r="U165" s="49"/>
      <c r="V165" s="94"/>
    </row>
    <row r="166" spans="1:22">
      <c r="A166" s="54"/>
      <c r="B166" s="101" t="s">
        <v>472</v>
      </c>
      <c r="C166" s="4"/>
      <c r="D166" s="4"/>
      <c r="E166" s="47"/>
      <c r="F166" s="4"/>
      <c r="G166" s="4"/>
      <c r="H166" s="47"/>
      <c r="I166" s="48"/>
      <c r="J166" s="48"/>
      <c r="K166" s="47">
        <v>1</v>
      </c>
      <c r="L166" s="48" t="s">
        <v>200</v>
      </c>
      <c r="M166" s="48" t="s">
        <v>27</v>
      </c>
      <c r="N166" s="48" t="s">
        <v>28</v>
      </c>
      <c r="O166" s="47">
        <v>200000</v>
      </c>
      <c r="P166" s="63">
        <f>O166</f>
        <v>200000</v>
      </c>
      <c r="Q166" s="63"/>
      <c r="R166" s="49"/>
      <c r="S166" s="49"/>
      <c r="T166" s="58"/>
      <c r="U166" s="49">
        <f>SUM(P166:T166)</f>
        <v>200000</v>
      </c>
      <c r="V166" s="41"/>
    </row>
    <row r="167" spans="1:22">
      <c r="A167" s="54"/>
      <c r="B167" s="101"/>
      <c r="C167" s="4"/>
      <c r="D167" s="4"/>
      <c r="E167" s="47"/>
      <c r="F167" s="4"/>
      <c r="G167" s="4"/>
      <c r="H167" s="47"/>
      <c r="I167" s="48"/>
      <c r="J167" s="48"/>
      <c r="K167" s="47"/>
      <c r="L167" s="48"/>
      <c r="M167" s="48"/>
      <c r="N167" s="48"/>
      <c r="O167" s="47"/>
      <c r="P167" s="63"/>
      <c r="Q167" s="63"/>
      <c r="R167" s="49"/>
      <c r="S167" s="49"/>
      <c r="T167" s="58"/>
      <c r="U167" s="49"/>
    </row>
    <row r="168" spans="1:22">
      <c r="A168" s="54">
        <v>3</v>
      </c>
      <c r="B168" s="3" t="s">
        <v>373</v>
      </c>
      <c r="C168" s="4"/>
      <c r="D168" s="4"/>
      <c r="E168" s="46"/>
      <c r="F168" s="52"/>
      <c r="G168" s="52"/>
      <c r="H168" s="4"/>
      <c r="I168" s="52"/>
      <c r="J168" s="75"/>
      <c r="K168" s="4"/>
      <c r="L168" s="52"/>
      <c r="M168" s="75"/>
      <c r="N168" s="52"/>
      <c r="O168" s="76"/>
      <c r="P168" s="63"/>
      <c r="Q168" s="63"/>
      <c r="R168" s="63"/>
      <c r="S168" s="63"/>
      <c r="T168" s="63"/>
      <c r="U168" s="65"/>
      <c r="V168" s="29"/>
    </row>
    <row r="169" spans="1:22">
      <c r="A169" s="54"/>
      <c r="B169" s="3" t="s">
        <v>374</v>
      </c>
      <c r="C169" s="4"/>
      <c r="D169" s="4"/>
      <c r="E169" s="46"/>
      <c r="F169" s="52"/>
      <c r="G169" s="52"/>
      <c r="H169" s="4"/>
      <c r="I169" s="52"/>
      <c r="J169" s="75"/>
      <c r="K169" s="4"/>
      <c r="L169" s="52"/>
      <c r="M169" s="75"/>
      <c r="N169" s="52"/>
      <c r="O169" s="329"/>
      <c r="P169" s="63"/>
      <c r="Q169" s="63"/>
      <c r="R169" s="63"/>
      <c r="S169" s="63"/>
      <c r="T169" s="63"/>
      <c r="U169" s="65"/>
      <c r="V169" s="29">
        <f>SUM(U169:U208)</f>
        <v>144440000</v>
      </c>
    </row>
    <row r="170" spans="1:22">
      <c r="A170" s="54" t="s">
        <v>49</v>
      </c>
      <c r="B170" s="3" t="s">
        <v>501</v>
      </c>
      <c r="C170" s="4"/>
      <c r="D170" s="4"/>
      <c r="E170" s="46"/>
      <c r="F170" s="52"/>
      <c r="G170" s="52"/>
      <c r="H170" s="4"/>
      <c r="I170" s="52"/>
      <c r="J170" s="75"/>
      <c r="K170" s="4"/>
      <c r="L170" s="52"/>
      <c r="M170" s="75"/>
      <c r="N170" s="52"/>
      <c r="O170" s="329"/>
      <c r="P170" s="63"/>
      <c r="Q170" s="63"/>
      <c r="R170" s="63"/>
      <c r="S170" s="63"/>
      <c r="T170" s="65"/>
      <c r="U170" s="49"/>
      <c r="V170" s="41"/>
    </row>
    <row r="171" spans="1:22">
      <c r="A171" s="54"/>
      <c r="B171" s="55" t="s">
        <v>42</v>
      </c>
      <c r="C171" s="4"/>
      <c r="D171" s="4"/>
      <c r="E171" s="47"/>
      <c r="F171" s="4"/>
      <c r="G171" s="4"/>
      <c r="H171" s="47"/>
      <c r="I171" s="48"/>
      <c r="J171" s="48"/>
      <c r="K171" s="47"/>
      <c r="L171" s="48"/>
      <c r="M171" s="48"/>
      <c r="N171" s="48"/>
      <c r="O171" s="47"/>
      <c r="P171" s="49">
        <f>O171*K171</f>
        <v>0</v>
      </c>
      <c r="Q171" s="49"/>
      <c r="R171" s="49"/>
      <c r="S171" s="49"/>
      <c r="T171" s="49"/>
      <c r="U171" s="49">
        <f t="shared" ref="U171:U172" si="34">SUM(P171:T171)</f>
        <v>0</v>
      </c>
      <c r="V171" s="29">
        <f>SUM(U172:U199)</f>
        <v>103000000</v>
      </c>
    </row>
    <row r="172" spans="1:22">
      <c r="A172" s="54"/>
      <c r="B172" s="100" t="s">
        <v>537</v>
      </c>
      <c r="C172" s="4"/>
      <c r="D172" s="4"/>
      <c r="E172" s="47"/>
      <c r="F172" s="4"/>
      <c r="G172" s="4"/>
      <c r="H172" s="47">
        <v>10</v>
      </c>
      <c r="I172" s="48" t="s">
        <v>30</v>
      </c>
      <c r="J172" s="48" t="s">
        <v>27</v>
      </c>
      <c r="K172" s="47">
        <v>3</v>
      </c>
      <c r="L172" s="48" t="s">
        <v>26</v>
      </c>
      <c r="M172" s="48" t="s">
        <v>27</v>
      </c>
      <c r="N172" s="48" t="s">
        <v>28</v>
      </c>
      <c r="O172" s="47">
        <v>50000</v>
      </c>
      <c r="P172" s="63">
        <f t="shared" ref="P172" si="35">O172*K172*H172</f>
        <v>1500000</v>
      </c>
      <c r="Q172" s="63"/>
      <c r="R172" s="63"/>
      <c r="S172" s="63"/>
      <c r="T172" s="49"/>
      <c r="U172" s="49">
        <f t="shared" si="34"/>
        <v>1500000</v>
      </c>
      <c r="V172" s="29"/>
    </row>
    <row r="173" spans="1:22">
      <c r="A173" s="54"/>
      <c r="B173" s="101" t="s">
        <v>538</v>
      </c>
      <c r="C173" s="4"/>
      <c r="D173" s="4"/>
      <c r="E173" s="47"/>
      <c r="F173" s="4"/>
      <c r="G173" s="4"/>
      <c r="H173" s="47"/>
      <c r="I173" s="48"/>
      <c r="J173" s="48"/>
      <c r="K173" s="47">
        <v>1</v>
      </c>
      <c r="L173" s="48" t="s">
        <v>26</v>
      </c>
      <c r="M173" s="48" t="s">
        <v>27</v>
      </c>
      <c r="N173" s="48" t="s">
        <v>28</v>
      </c>
      <c r="O173" s="47">
        <v>500000</v>
      </c>
      <c r="P173" s="63">
        <f>O173</f>
        <v>500000</v>
      </c>
      <c r="Q173" s="63"/>
      <c r="R173" s="49"/>
      <c r="S173" s="49"/>
      <c r="T173" s="58"/>
      <c r="U173" s="49">
        <f>SUM(P173:T173)</f>
        <v>500000</v>
      </c>
      <c r="V173" s="41"/>
    </row>
    <row r="174" spans="1:22">
      <c r="A174" s="54"/>
      <c r="B174" s="3"/>
      <c r="C174" s="4"/>
      <c r="D174" s="4"/>
      <c r="E174" s="46"/>
      <c r="F174" s="52"/>
      <c r="G174" s="52"/>
      <c r="H174" s="4"/>
      <c r="I174" s="52"/>
      <c r="J174" s="75"/>
      <c r="K174" s="4"/>
      <c r="L174" s="52"/>
      <c r="M174" s="75"/>
      <c r="N174" s="52"/>
      <c r="O174" s="329"/>
      <c r="P174" s="63"/>
      <c r="Q174" s="63"/>
      <c r="R174" s="63"/>
      <c r="S174" s="63"/>
      <c r="T174" s="65"/>
      <c r="U174" s="49"/>
      <c r="V174" s="41"/>
    </row>
    <row r="175" spans="1:22">
      <c r="A175" s="54" t="s">
        <v>50</v>
      </c>
      <c r="B175" s="3" t="s">
        <v>502</v>
      </c>
      <c r="C175" s="4"/>
      <c r="D175" s="4"/>
      <c r="E175" s="46"/>
      <c r="F175" s="52"/>
      <c r="G175" s="52"/>
      <c r="H175" s="4"/>
      <c r="I175" s="52"/>
      <c r="J175" s="75"/>
      <c r="K175" s="4"/>
      <c r="L175" s="52"/>
      <c r="M175" s="75"/>
      <c r="N175" s="52"/>
      <c r="O175" s="329"/>
      <c r="P175" s="63"/>
      <c r="Q175" s="63"/>
      <c r="R175" s="63"/>
      <c r="S175" s="63"/>
      <c r="T175" s="65"/>
      <c r="U175" s="49"/>
      <c r="V175" s="34">
        <f>SUM(U175:U204)</f>
        <v>142240000</v>
      </c>
    </row>
    <row r="176" spans="1:22" s="73" customFormat="1" ht="13.8">
      <c r="A176" s="66"/>
      <c r="B176" s="104" t="s">
        <v>42</v>
      </c>
      <c r="C176" s="4"/>
      <c r="D176" s="4"/>
      <c r="E176" s="47"/>
      <c r="F176" s="4"/>
      <c r="G176" s="4"/>
      <c r="H176" s="47"/>
      <c r="I176" s="48"/>
      <c r="J176" s="48"/>
      <c r="K176" s="47"/>
      <c r="L176" s="48"/>
      <c r="M176" s="48"/>
      <c r="N176" s="48"/>
      <c r="O176" s="47"/>
      <c r="P176" s="70"/>
      <c r="Q176" s="70"/>
      <c r="R176" s="49">
        <f>O176*K176*H176</f>
        <v>0</v>
      </c>
      <c r="S176" s="49"/>
      <c r="T176" s="71"/>
      <c r="U176" s="71"/>
    </row>
    <row r="177" spans="1:22" s="5" customFormat="1">
      <c r="A177" s="6"/>
      <c r="B177" s="101" t="s">
        <v>186</v>
      </c>
      <c r="C177" s="4"/>
      <c r="D177" s="4"/>
      <c r="E177" s="47"/>
      <c r="F177" s="4"/>
      <c r="G177" s="4"/>
      <c r="H177" s="47">
        <v>50</v>
      </c>
      <c r="I177" s="48" t="s">
        <v>30</v>
      </c>
      <c r="J177" s="48" t="s">
        <v>27</v>
      </c>
      <c r="K177" s="47">
        <v>2</v>
      </c>
      <c r="L177" s="48" t="s">
        <v>31</v>
      </c>
      <c r="M177" s="48" t="s">
        <v>27</v>
      </c>
      <c r="N177" s="48" t="s">
        <v>28</v>
      </c>
      <c r="O177" s="47">
        <v>535000</v>
      </c>
      <c r="P177" s="63">
        <f t="shared" ref="P177:P179" si="36">O177*K177*H177</f>
        <v>53500000</v>
      </c>
      <c r="Q177" s="63"/>
      <c r="R177" s="49"/>
      <c r="S177" s="49"/>
      <c r="T177" s="9"/>
      <c r="U177" s="9">
        <f>P177</f>
        <v>53500000</v>
      </c>
    </row>
    <row r="178" spans="1:22">
      <c r="A178" s="54"/>
      <c r="B178" s="101" t="s">
        <v>75</v>
      </c>
      <c r="C178" s="4"/>
      <c r="D178" s="4"/>
      <c r="E178" s="47"/>
      <c r="F178" s="4"/>
      <c r="G178" s="4"/>
      <c r="H178" s="47">
        <v>2</v>
      </c>
      <c r="I178" s="48" t="s">
        <v>47</v>
      </c>
      <c r="J178" s="48" t="s">
        <v>27</v>
      </c>
      <c r="K178" s="47">
        <v>1</v>
      </c>
      <c r="L178" s="48" t="s">
        <v>26</v>
      </c>
      <c r="M178" s="48" t="s">
        <v>27</v>
      </c>
      <c r="N178" s="48" t="s">
        <v>28</v>
      </c>
      <c r="O178" s="47">
        <v>500000</v>
      </c>
      <c r="P178" s="63">
        <f t="shared" si="36"/>
        <v>1000000</v>
      </c>
      <c r="Q178" s="63"/>
      <c r="R178" s="49"/>
      <c r="S178" s="49"/>
      <c r="T178" s="63"/>
      <c r="U178" s="65">
        <f>P178</f>
        <v>1000000</v>
      </c>
      <c r="V178" s="29"/>
    </row>
    <row r="179" spans="1:22">
      <c r="A179" s="54"/>
      <c r="B179" s="101" t="s">
        <v>76</v>
      </c>
      <c r="C179" s="4"/>
      <c r="D179" s="4"/>
      <c r="E179" s="47"/>
      <c r="F179" s="4"/>
      <c r="G179" s="4"/>
      <c r="H179" s="47">
        <v>50</v>
      </c>
      <c r="I179" s="48" t="s">
        <v>30</v>
      </c>
      <c r="J179" s="48" t="s">
        <v>27</v>
      </c>
      <c r="K179" s="47">
        <v>1</v>
      </c>
      <c r="L179" s="48" t="s">
        <v>26</v>
      </c>
      <c r="M179" s="48" t="s">
        <v>27</v>
      </c>
      <c r="N179" s="48" t="s">
        <v>28</v>
      </c>
      <c r="O179" s="47">
        <v>200000</v>
      </c>
      <c r="P179" s="63">
        <f t="shared" si="36"/>
        <v>10000000</v>
      </c>
      <c r="Q179" s="63"/>
      <c r="R179" s="49"/>
      <c r="S179" s="49"/>
      <c r="T179" s="49"/>
      <c r="U179" s="49">
        <f>P179</f>
        <v>10000000</v>
      </c>
      <c r="V179" s="29"/>
    </row>
    <row r="180" spans="1:22">
      <c r="A180" s="54"/>
      <c r="B180" s="105"/>
      <c r="C180" s="4"/>
      <c r="D180" s="4"/>
      <c r="E180" s="47"/>
      <c r="F180" s="4"/>
      <c r="G180" s="4"/>
      <c r="H180" s="47"/>
      <c r="I180" s="48"/>
      <c r="J180" s="48"/>
      <c r="K180" s="47"/>
      <c r="L180" s="48"/>
      <c r="M180" s="48"/>
      <c r="N180" s="48"/>
      <c r="O180" s="47"/>
      <c r="P180" s="63"/>
      <c r="Q180" s="63"/>
      <c r="R180" s="49">
        <f>O180*K180*H180</f>
        <v>0</v>
      </c>
      <c r="S180" s="49"/>
      <c r="T180" s="49"/>
      <c r="U180" s="49"/>
      <c r="V180" s="29"/>
    </row>
    <row r="181" spans="1:22">
      <c r="A181" s="54"/>
      <c r="B181" s="309" t="s">
        <v>553</v>
      </c>
      <c r="C181" s="4"/>
      <c r="D181" s="4"/>
      <c r="E181" s="47"/>
      <c r="F181" s="4"/>
      <c r="G181" s="4"/>
      <c r="H181" s="47"/>
      <c r="I181" s="48"/>
      <c r="J181" s="48"/>
      <c r="K181" s="47"/>
      <c r="L181" s="48"/>
      <c r="M181" s="48"/>
      <c r="N181" s="48"/>
      <c r="O181" s="47"/>
      <c r="P181" s="63"/>
      <c r="Q181" s="63"/>
      <c r="R181" s="49">
        <f t="shared" ref="R181" si="37">O181*K181*H181</f>
        <v>0</v>
      </c>
      <c r="S181" s="49"/>
      <c r="T181" s="63"/>
      <c r="U181" s="65"/>
      <c r="V181" s="29"/>
    </row>
    <row r="182" spans="1:22">
      <c r="A182" s="54"/>
      <c r="B182" s="103" t="s">
        <v>375</v>
      </c>
      <c r="C182" s="4"/>
      <c r="D182" s="4"/>
      <c r="E182" s="47"/>
      <c r="F182" s="4"/>
      <c r="G182" s="4"/>
      <c r="H182" s="47"/>
      <c r="I182" s="48"/>
      <c r="J182" s="48"/>
      <c r="K182" s="47"/>
      <c r="L182" s="48"/>
      <c r="M182" s="48"/>
      <c r="N182" s="48"/>
      <c r="O182" s="47"/>
      <c r="P182" s="63"/>
      <c r="Q182" s="63"/>
      <c r="R182" s="49">
        <f>O182*K182*H182</f>
        <v>0</v>
      </c>
      <c r="S182" s="49"/>
      <c r="T182" s="49"/>
      <c r="U182" s="49"/>
      <c r="V182" s="29"/>
    </row>
    <row r="183" spans="1:22">
      <c r="A183" s="54"/>
      <c r="B183" s="330" t="s">
        <v>376</v>
      </c>
      <c r="C183" s="4"/>
      <c r="D183" s="4"/>
      <c r="E183" s="47"/>
      <c r="F183" s="4"/>
      <c r="G183" s="4"/>
      <c r="H183" s="47">
        <v>17</v>
      </c>
      <c r="I183" s="48" t="s">
        <v>30</v>
      </c>
      <c r="J183" s="48" t="s">
        <v>27</v>
      </c>
      <c r="K183" s="47">
        <v>1</v>
      </c>
      <c r="L183" s="48" t="s">
        <v>26</v>
      </c>
      <c r="M183" s="48" t="s">
        <v>27</v>
      </c>
      <c r="N183" s="48" t="s">
        <v>28</v>
      </c>
      <c r="O183" s="47">
        <v>100000</v>
      </c>
      <c r="P183" s="63"/>
      <c r="Q183" s="63"/>
      <c r="R183" s="49">
        <f>O183*K183*H183</f>
        <v>1700000</v>
      </c>
      <c r="S183" s="49"/>
      <c r="T183" s="49"/>
      <c r="U183" s="49">
        <f t="shared" ref="U183:U188" si="38">R183</f>
        <v>1700000</v>
      </c>
      <c r="V183" s="29"/>
    </row>
    <row r="184" spans="1:22">
      <c r="A184" s="54"/>
      <c r="B184" s="331" t="s">
        <v>377</v>
      </c>
      <c r="C184" s="4"/>
      <c r="D184" s="4"/>
      <c r="E184" s="47"/>
      <c r="F184" s="4"/>
      <c r="G184" s="4"/>
      <c r="H184" s="47">
        <v>2</v>
      </c>
      <c r="I184" s="48" t="s">
        <v>30</v>
      </c>
      <c r="J184" s="48" t="s">
        <v>27</v>
      </c>
      <c r="K184" s="47">
        <v>1</v>
      </c>
      <c r="L184" s="48" t="s">
        <v>26</v>
      </c>
      <c r="M184" s="48" t="s">
        <v>27</v>
      </c>
      <c r="N184" s="48" t="s">
        <v>28</v>
      </c>
      <c r="O184" s="47">
        <v>150000</v>
      </c>
      <c r="P184" s="63"/>
      <c r="Q184" s="63"/>
      <c r="R184" s="49">
        <f t="shared" ref="R184:R192" si="39">O184*K184*H184</f>
        <v>300000</v>
      </c>
      <c r="S184" s="49"/>
      <c r="T184" s="49"/>
      <c r="U184" s="49">
        <f t="shared" si="38"/>
        <v>300000</v>
      </c>
      <c r="V184" s="29"/>
    </row>
    <row r="185" spans="1:22">
      <c r="A185" s="54"/>
      <c r="B185" s="331" t="s">
        <v>378</v>
      </c>
      <c r="C185" s="4"/>
      <c r="D185" s="4"/>
      <c r="E185" s="47"/>
      <c r="F185" s="4"/>
      <c r="G185" s="4"/>
      <c r="H185" s="47">
        <v>2</v>
      </c>
      <c r="I185" s="48" t="s">
        <v>30</v>
      </c>
      <c r="J185" s="48" t="s">
        <v>27</v>
      </c>
      <c r="K185" s="47">
        <v>1</v>
      </c>
      <c r="L185" s="48" t="s">
        <v>26</v>
      </c>
      <c r="M185" s="48" t="s">
        <v>27</v>
      </c>
      <c r="N185" s="48" t="s">
        <v>28</v>
      </c>
      <c r="O185" s="47">
        <v>800000</v>
      </c>
      <c r="P185" s="63"/>
      <c r="Q185" s="63"/>
      <c r="R185" s="49">
        <f t="shared" si="39"/>
        <v>1600000</v>
      </c>
      <c r="S185" s="49"/>
      <c r="T185" s="49"/>
      <c r="U185" s="49">
        <f t="shared" si="38"/>
        <v>1600000</v>
      </c>
      <c r="V185" s="29"/>
    </row>
    <row r="186" spans="1:22">
      <c r="A186" s="54"/>
      <c r="B186" s="331" t="s">
        <v>379</v>
      </c>
      <c r="C186" s="4"/>
      <c r="D186" s="4"/>
      <c r="E186" s="47"/>
      <c r="F186" s="4"/>
      <c r="G186" s="4"/>
      <c r="H186" s="47">
        <v>2</v>
      </c>
      <c r="I186" s="48" t="s">
        <v>30</v>
      </c>
      <c r="J186" s="48" t="s">
        <v>27</v>
      </c>
      <c r="K186" s="47">
        <v>1</v>
      </c>
      <c r="L186" s="48" t="s">
        <v>26</v>
      </c>
      <c r="M186" s="48" t="s">
        <v>27</v>
      </c>
      <c r="N186" s="48" t="s">
        <v>28</v>
      </c>
      <c r="O186" s="47">
        <v>300000</v>
      </c>
      <c r="P186" s="63"/>
      <c r="Q186" s="63"/>
      <c r="R186" s="49">
        <f t="shared" si="39"/>
        <v>600000</v>
      </c>
      <c r="S186" s="49"/>
      <c r="T186" s="49"/>
      <c r="U186" s="49">
        <f t="shared" si="38"/>
        <v>600000</v>
      </c>
      <c r="V186" s="29"/>
    </row>
    <row r="187" spans="1:22">
      <c r="A187" s="54"/>
      <c r="B187" s="331" t="s">
        <v>380</v>
      </c>
      <c r="C187" s="4"/>
      <c r="D187" s="4"/>
      <c r="E187" s="47"/>
      <c r="F187" s="4"/>
      <c r="G187" s="4"/>
      <c r="H187" s="47">
        <v>2</v>
      </c>
      <c r="I187" s="48" t="s">
        <v>30</v>
      </c>
      <c r="J187" s="48" t="s">
        <v>27</v>
      </c>
      <c r="K187" s="47">
        <v>1</v>
      </c>
      <c r="L187" s="48" t="s">
        <v>26</v>
      </c>
      <c r="M187" s="48" t="s">
        <v>27</v>
      </c>
      <c r="N187" s="48" t="s">
        <v>28</v>
      </c>
      <c r="O187" s="47">
        <v>400000</v>
      </c>
      <c r="P187" s="63"/>
      <c r="Q187" s="63"/>
      <c r="R187" s="49">
        <f t="shared" si="39"/>
        <v>800000</v>
      </c>
      <c r="S187" s="49"/>
      <c r="T187" s="49"/>
      <c r="U187" s="49">
        <f t="shared" si="38"/>
        <v>800000</v>
      </c>
      <c r="V187" s="29"/>
    </row>
    <row r="188" spans="1:22">
      <c r="A188" s="54"/>
      <c r="B188" s="331" t="s">
        <v>381</v>
      </c>
      <c r="C188" s="4"/>
      <c r="D188" s="4"/>
      <c r="E188" s="47"/>
      <c r="F188" s="4"/>
      <c r="G188" s="4"/>
      <c r="H188" s="47">
        <v>2</v>
      </c>
      <c r="I188" s="48" t="s">
        <v>30</v>
      </c>
      <c r="J188" s="48" t="s">
        <v>27</v>
      </c>
      <c r="K188" s="47">
        <v>1</v>
      </c>
      <c r="L188" s="48" t="s">
        <v>26</v>
      </c>
      <c r="M188" s="48" t="s">
        <v>27</v>
      </c>
      <c r="N188" s="48" t="s">
        <v>28</v>
      </c>
      <c r="O188" s="47">
        <v>400000</v>
      </c>
      <c r="P188" s="63"/>
      <c r="Q188" s="63"/>
      <c r="R188" s="49">
        <f t="shared" si="39"/>
        <v>800000</v>
      </c>
      <c r="S188" s="49"/>
      <c r="T188" s="49"/>
      <c r="U188" s="49">
        <f t="shared" si="38"/>
        <v>800000</v>
      </c>
      <c r="V188" s="29"/>
    </row>
    <row r="189" spans="1:22">
      <c r="A189" s="54"/>
      <c r="B189" s="331" t="s">
        <v>385</v>
      </c>
      <c r="C189" s="4"/>
      <c r="D189" s="4"/>
      <c r="E189" s="47"/>
      <c r="F189" s="4"/>
      <c r="G189" s="4"/>
      <c r="H189" s="47">
        <v>2</v>
      </c>
      <c r="I189" s="48" t="s">
        <v>30</v>
      </c>
      <c r="J189" s="48" t="s">
        <v>27</v>
      </c>
      <c r="K189" s="47">
        <v>1</v>
      </c>
      <c r="L189" s="48" t="s">
        <v>26</v>
      </c>
      <c r="M189" s="48" t="s">
        <v>27</v>
      </c>
      <c r="N189" s="48" t="s">
        <v>28</v>
      </c>
      <c r="O189" s="47">
        <v>400000</v>
      </c>
      <c r="P189" s="63"/>
      <c r="Q189" s="63"/>
      <c r="R189" s="49">
        <f t="shared" ref="R189" si="40">O189*K189*H189</f>
        <v>800000</v>
      </c>
      <c r="S189" s="49"/>
      <c r="T189" s="49"/>
      <c r="U189" s="49">
        <f t="shared" ref="U189" si="41">R189</f>
        <v>800000</v>
      </c>
      <c r="V189" s="29"/>
    </row>
    <row r="190" spans="1:22">
      <c r="A190" s="54"/>
      <c r="B190" s="331" t="s">
        <v>382</v>
      </c>
      <c r="C190" s="4"/>
      <c r="D190" s="4"/>
      <c r="E190" s="47"/>
      <c r="F190" s="4"/>
      <c r="G190" s="4"/>
      <c r="H190" s="47">
        <v>2</v>
      </c>
      <c r="I190" s="48" t="s">
        <v>30</v>
      </c>
      <c r="J190" s="48" t="s">
        <v>27</v>
      </c>
      <c r="K190" s="47">
        <v>1</v>
      </c>
      <c r="L190" s="48" t="s">
        <v>26</v>
      </c>
      <c r="M190" s="48" t="s">
        <v>27</v>
      </c>
      <c r="N190" s="48" t="s">
        <v>28</v>
      </c>
      <c r="O190" s="47">
        <v>1200000</v>
      </c>
      <c r="P190" s="63"/>
      <c r="Q190" s="63"/>
      <c r="R190" s="49">
        <f t="shared" si="39"/>
        <v>2400000</v>
      </c>
      <c r="S190" s="49"/>
      <c r="T190" s="49"/>
      <c r="U190" s="49">
        <f>R190</f>
        <v>2400000</v>
      </c>
      <c r="V190" s="29"/>
    </row>
    <row r="191" spans="1:22">
      <c r="A191" s="54"/>
      <c r="B191" s="331" t="s">
        <v>383</v>
      </c>
      <c r="C191" s="4"/>
      <c r="D191" s="4"/>
      <c r="E191" s="47"/>
      <c r="F191" s="4"/>
      <c r="G191" s="4"/>
      <c r="H191" s="47">
        <v>2</v>
      </c>
      <c r="I191" s="48" t="s">
        <v>30</v>
      </c>
      <c r="J191" s="48" t="s">
        <v>27</v>
      </c>
      <c r="K191" s="47">
        <v>1</v>
      </c>
      <c r="L191" s="48" t="s">
        <v>26</v>
      </c>
      <c r="M191" s="48" t="s">
        <v>27</v>
      </c>
      <c r="N191" s="48" t="s">
        <v>28</v>
      </c>
      <c r="O191" s="47">
        <v>1000000</v>
      </c>
      <c r="P191" s="63"/>
      <c r="Q191" s="63"/>
      <c r="R191" s="49">
        <f t="shared" si="39"/>
        <v>2000000</v>
      </c>
      <c r="S191" s="49"/>
      <c r="T191" s="49"/>
      <c r="U191" s="49">
        <f>R191</f>
        <v>2000000</v>
      </c>
      <c r="V191" s="29"/>
    </row>
    <row r="192" spans="1:22">
      <c r="A192" s="54"/>
      <c r="B192" s="331" t="s">
        <v>384</v>
      </c>
      <c r="C192" s="4"/>
      <c r="D192" s="4"/>
      <c r="E192" s="47"/>
      <c r="F192" s="4"/>
      <c r="G192" s="4"/>
      <c r="H192" s="47">
        <v>2</v>
      </c>
      <c r="I192" s="48" t="s">
        <v>30</v>
      </c>
      <c r="J192" s="48" t="s">
        <v>27</v>
      </c>
      <c r="K192" s="47">
        <v>1</v>
      </c>
      <c r="L192" s="48" t="s">
        <v>26</v>
      </c>
      <c r="M192" s="48" t="s">
        <v>27</v>
      </c>
      <c r="N192" s="48" t="s">
        <v>28</v>
      </c>
      <c r="O192" s="47">
        <v>1000000</v>
      </c>
      <c r="P192" s="63"/>
      <c r="Q192" s="63"/>
      <c r="R192" s="49">
        <f t="shared" si="39"/>
        <v>2000000</v>
      </c>
      <c r="S192" s="49"/>
      <c r="T192" s="49"/>
      <c r="U192" s="49">
        <f>R192</f>
        <v>2000000</v>
      </c>
      <c r="V192" s="29"/>
    </row>
    <row r="193" spans="1:22">
      <c r="A193" s="54"/>
      <c r="B193" s="360" t="s">
        <v>559</v>
      </c>
      <c r="C193" s="56"/>
      <c r="D193" s="4"/>
      <c r="E193" s="4"/>
      <c r="F193" s="4"/>
      <c r="G193" s="4"/>
      <c r="H193" s="47">
        <v>50</v>
      </c>
      <c r="I193" s="48" t="s">
        <v>30</v>
      </c>
      <c r="J193" s="48" t="s">
        <v>27</v>
      </c>
      <c r="K193" s="47">
        <v>2</v>
      </c>
      <c r="L193" s="48" t="s">
        <v>31</v>
      </c>
      <c r="M193" s="48" t="s">
        <v>27</v>
      </c>
      <c r="N193" s="48" t="s">
        <v>28</v>
      </c>
      <c r="O193" s="47">
        <v>110000</v>
      </c>
      <c r="P193" s="63"/>
      <c r="Q193" s="63"/>
      <c r="R193" s="63"/>
      <c r="S193" s="63"/>
      <c r="T193" s="63"/>
      <c r="U193" s="65">
        <f>O193*K193*H193</f>
        <v>11000000</v>
      </c>
      <c r="V193" s="29"/>
    </row>
    <row r="194" spans="1:22">
      <c r="A194" s="54"/>
      <c r="B194" s="101"/>
      <c r="C194" s="56"/>
      <c r="D194" s="4"/>
      <c r="E194" s="4"/>
      <c r="F194" s="4"/>
      <c r="G194" s="4"/>
      <c r="H194" s="47"/>
      <c r="I194" s="48"/>
      <c r="J194" s="48"/>
      <c r="K194" s="47"/>
      <c r="L194" s="48"/>
      <c r="M194" s="48"/>
      <c r="N194" s="48"/>
      <c r="O194" s="47"/>
      <c r="P194" s="63"/>
      <c r="Q194" s="63"/>
      <c r="R194" s="63"/>
      <c r="S194" s="63"/>
      <c r="T194" s="63"/>
      <c r="U194" s="65"/>
      <c r="V194" s="29"/>
    </row>
    <row r="195" spans="1:22" s="73" customFormat="1" ht="13.8">
      <c r="A195" s="66"/>
      <c r="B195" s="104" t="s">
        <v>64</v>
      </c>
      <c r="C195" s="4"/>
      <c r="D195" s="4"/>
      <c r="E195" s="47"/>
      <c r="F195" s="4"/>
      <c r="G195" s="4"/>
      <c r="H195" s="47"/>
      <c r="I195" s="48"/>
      <c r="J195" s="48"/>
      <c r="K195" s="47"/>
      <c r="L195" s="48"/>
      <c r="M195" s="48"/>
      <c r="N195" s="48"/>
      <c r="O195" s="47"/>
      <c r="P195" s="70"/>
      <c r="Q195" s="70"/>
      <c r="R195" s="49">
        <f t="shared" ref="R195" si="42">O195*K195*H195</f>
        <v>0</v>
      </c>
      <c r="S195" s="49"/>
      <c r="T195" s="71"/>
      <c r="U195" s="71"/>
    </row>
    <row r="196" spans="1:22" s="73" customFormat="1" ht="13.8">
      <c r="A196" s="66"/>
      <c r="B196" s="101" t="s">
        <v>77</v>
      </c>
      <c r="C196" s="4"/>
      <c r="D196" s="4"/>
      <c r="E196" s="47"/>
      <c r="F196" s="4"/>
      <c r="G196" s="4"/>
      <c r="H196" s="47">
        <v>5</v>
      </c>
      <c r="I196" s="48" t="s">
        <v>30</v>
      </c>
      <c r="J196" s="48" t="s">
        <v>27</v>
      </c>
      <c r="K196" s="47">
        <v>2</v>
      </c>
      <c r="L196" s="48" t="s">
        <v>78</v>
      </c>
      <c r="M196" s="48" t="s">
        <v>27</v>
      </c>
      <c r="N196" s="48" t="s">
        <v>28</v>
      </c>
      <c r="O196" s="47">
        <v>1000000</v>
      </c>
      <c r="P196" s="70"/>
      <c r="Q196" s="70"/>
      <c r="R196" s="49"/>
      <c r="S196" s="49"/>
      <c r="T196" s="71">
        <f>O196*K196*H196</f>
        <v>10000000</v>
      </c>
      <c r="U196" s="71">
        <f>T196</f>
        <v>10000000</v>
      </c>
    </row>
    <row r="197" spans="1:22">
      <c r="A197" s="54"/>
      <c r="B197" s="101" t="s">
        <v>74</v>
      </c>
      <c r="C197" s="67"/>
      <c r="D197" s="67"/>
      <c r="E197" s="68"/>
      <c r="F197" s="67"/>
      <c r="G197" s="67"/>
      <c r="H197" s="47">
        <v>1</v>
      </c>
      <c r="I197" s="48" t="s">
        <v>30</v>
      </c>
      <c r="J197" s="48" t="s">
        <v>27</v>
      </c>
      <c r="K197" s="47">
        <v>5</v>
      </c>
      <c r="L197" s="48" t="s">
        <v>78</v>
      </c>
      <c r="M197" s="48" t="s">
        <v>27</v>
      </c>
      <c r="N197" s="48" t="s">
        <v>28</v>
      </c>
      <c r="O197" s="47">
        <v>500000</v>
      </c>
      <c r="P197" s="63"/>
      <c r="Q197" s="63"/>
      <c r="R197" s="49"/>
      <c r="S197" s="49"/>
      <c r="T197" s="65">
        <f>O197*K197*H197</f>
        <v>2500000</v>
      </c>
      <c r="U197" s="65">
        <f>T197</f>
        <v>2500000</v>
      </c>
      <c r="V197" s="29"/>
    </row>
    <row r="198" spans="1:22" s="5" customFormat="1">
      <c r="A198" s="6"/>
      <c r="B198" s="105"/>
      <c r="C198" s="4"/>
      <c r="D198" s="4"/>
      <c r="E198" s="47"/>
      <c r="F198" s="4"/>
      <c r="G198" s="4"/>
      <c r="H198" s="47"/>
      <c r="I198" s="48"/>
      <c r="J198" s="48"/>
      <c r="K198" s="47"/>
      <c r="L198" s="48"/>
      <c r="M198" s="48"/>
      <c r="N198" s="48"/>
      <c r="O198" s="47"/>
      <c r="P198" s="9"/>
      <c r="Q198" s="9"/>
      <c r="R198" s="49">
        <f t="shared" ref="R198:R199" si="43">O198*K198*H198</f>
        <v>0</v>
      </c>
      <c r="S198" s="49"/>
      <c r="T198" s="9"/>
      <c r="U198" s="9"/>
    </row>
    <row r="199" spans="1:22" s="73" customFormat="1" ht="13.8">
      <c r="A199" s="66"/>
      <c r="B199" s="55" t="s">
        <v>51</v>
      </c>
      <c r="C199" s="4"/>
      <c r="D199" s="4"/>
      <c r="E199" s="47"/>
      <c r="F199" s="4"/>
      <c r="G199" s="4"/>
      <c r="H199" s="47"/>
      <c r="I199" s="48"/>
      <c r="J199" s="48"/>
      <c r="K199" s="47"/>
      <c r="L199" s="48"/>
      <c r="M199" s="48"/>
      <c r="N199" s="48"/>
      <c r="O199" s="47"/>
      <c r="P199" s="70"/>
      <c r="Q199" s="70"/>
      <c r="R199" s="49">
        <f t="shared" si="43"/>
        <v>0</v>
      </c>
      <c r="S199" s="49"/>
      <c r="T199" s="71"/>
      <c r="U199" s="71"/>
    </row>
    <row r="200" spans="1:22" s="73" customFormat="1" ht="13.8">
      <c r="A200" s="66"/>
      <c r="B200" s="99" t="s">
        <v>80</v>
      </c>
      <c r="C200" s="4"/>
      <c r="D200" s="4"/>
      <c r="E200" s="47"/>
      <c r="F200" s="4"/>
      <c r="G200" s="4"/>
      <c r="H200" s="47"/>
      <c r="I200" s="48"/>
      <c r="J200" s="48"/>
      <c r="K200" s="47"/>
      <c r="L200" s="48"/>
      <c r="M200" s="48"/>
      <c r="N200" s="48"/>
      <c r="O200" s="47"/>
      <c r="P200" s="70"/>
      <c r="Q200" s="70"/>
      <c r="R200" s="49"/>
      <c r="S200" s="49"/>
      <c r="T200" s="71"/>
      <c r="U200" s="71"/>
    </row>
    <row r="201" spans="1:22">
      <c r="A201" s="54"/>
      <c r="B201" s="103" t="s">
        <v>52</v>
      </c>
      <c r="C201" s="4"/>
      <c r="D201" s="4"/>
      <c r="E201" s="47"/>
      <c r="F201" s="4"/>
      <c r="G201" s="4"/>
      <c r="H201" s="47">
        <v>5</v>
      </c>
      <c r="I201" s="48" t="s">
        <v>30</v>
      </c>
      <c r="J201" s="48" t="s">
        <v>27</v>
      </c>
      <c r="K201" s="47">
        <v>1</v>
      </c>
      <c r="L201" s="48" t="s">
        <v>26</v>
      </c>
      <c r="M201" s="48" t="s">
        <v>27</v>
      </c>
      <c r="N201" s="48" t="s">
        <v>28</v>
      </c>
      <c r="O201" s="47">
        <v>6000000</v>
      </c>
      <c r="P201" s="63"/>
      <c r="Q201" s="63"/>
      <c r="R201" s="49">
        <f>O201*K201*H201</f>
        <v>30000000</v>
      </c>
      <c r="S201" s="49"/>
      <c r="T201" s="49"/>
      <c r="U201" s="49">
        <f>R201</f>
        <v>30000000</v>
      </c>
      <c r="V201" s="29"/>
    </row>
    <row r="202" spans="1:22" s="169" customFormat="1">
      <c r="A202" s="165"/>
      <c r="B202" s="103" t="s">
        <v>259</v>
      </c>
      <c r="C202" s="4"/>
      <c r="D202" s="4"/>
      <c r="E202" s="47"/>
      <c r="F202" s="4"/>
      <c r="G202" s="4"/>
      <c r="H202" s="47">
        <v>5</v>
      </c>
      <c r="I202" s="48" t="s">
        <v>30</v>
      </c>
      <c r="J202" s="48" t="s">
        <v>27</v>
      </c>
      <c r="K202" s="47">
        <v>1</v>
      </c>
      <c r="L202" s="48" t="s">
        <v>26</v>
      </c>
      <c r="M202" s="48" t="s">
        <v>27</v>
      </c>
      <c r="N202" s="48" t="s">
        <v>28</v>
      </c>
      <c r="O202" s="47">
        <f>(170000+174000)*2</f>
        <v>688000</v>
      </c>
      <c r="P202" s="167"/>
      <c r="Q202" s="167"/>
      <c r="R202" s="49">
        <f t="shared" ref="R202" si="44">H202*K202*O202</f>
        <v>3440000</v>
      </c>
      <c r="S202" s="178"/>
      <c r="T202" s="163"/>
      <c r="U202" s="49">
        <f t="shared" ref="U202" si="45">SUM(P202:T202)</f>
        <v>3440000</v>
      </c>
    </row>
    <row r="203" spans="1:22" s="73" customFormat="1" ht="13.8">
      <c r="A203" s="66"/>
      <c r="B203" s="103" t="s">
        <v>53</v>
      </c>
      <c r="C203" s="4"/>
      <c r="D203" s="4"/>
      <c r="E203" s="47"/>
      <c r="F203" s="4"/>
      <c r="G203" s="4"/>
      <c r="H203" s="47">
        <v>5</v>
      </c>
      <c r="I203" s="48" t="s">
        <v>30</v>
      </c>
      <c r="J203" s="48" t="s">
        <v>27</v>
      </c>
      <c r="K203" s="47">
        <v>2</v>
      </c>
      <c r="L203" s="48" t="s">
        <v>31</v>
      </c>
      <c r="M203" s="48" t="s">
        <v>27</v>
      </c>
      <c r="N203" s="48" t="s">
        <v>28</v>
      </c>
      <c r="O203" s="47">
        <v>430000</v>
      </c>
      <c r="P203" s="70"/>
      <c r="Q203" s="70"/>
      <c r="R203" s="49">
        <f t="shared" ref="R203:R204" si="46">O203*K203*H203</f>
        <v>4300000</v>
      </c>
      <c r="S203" s="49"/>
      <c r="T203" s="71"/>
      <c r="U203" s="71">
        <f>R203</f>
        <v>4300000</v>
      </c>
    </row>
    <row r="204" spans="1:22" s="5" customFormat="1">
      <c r="A204" s="6"/>
      <c r="B204" s="103" t="s">
        <v>173</v>
      </c>
      <c r="C204" s="4"/>
      <c r="D204" s="4"/>
      <c r="E204" s="47"/>
      <c r="F204" s="4"/>
      <c r="G204" s="4"/>
      <c r="H204" s="47">
        <v>5</v>
      </c>
      <c r="I204" s="48" t="s">
        <v>30</v>
      </c>
      <c r="J204" s="48" t="s">
        <v>27</v>
      </c>
      <c r="K204" s="47">
        <v>1</v>
      </c>
      <c r="L204" s="48" t="s">
        <v>31</v>
      </c>
      <c r="M204" s="48" t="s">
        <v>27</v>
      </c>
      <c r="N204" s="48" t="s">
        <v>28</v>
      </c>
      <c r="O204" s="47">
        <v>700000</v>
      </c>
      <c r="P204" s="9"/>
      <c r="Q204" s="9"/>
      <c r="R204" s="49">
        <f t="shared" si="46"/>
        <v>3500000</v>
      </c>
      <c r="S204" s="49"/>
      <c r="T204" s="9"/>
      <c r="U204" s="9">
        <f>R204</f>
        <v>3500000</v>
      </c>
    </row>
    <row r="205" spans="1:22" s="5" customFormat="1">
      <c r="A205" s="6"/>
      <c r="B205" s="392"/>
      <c r="C205" s="4"/>
      <c r="D205" s="4"/>
      <c r="E205" s="47"/>
      <c r="F205" s="4"/>
      <c r="G205" s="4"/>
      <c r="H205" s="47"/>
      <c r="I205" s="48"/>
      <c r="J205" s="48"/>
      <c r="K205" s="47"/>
      <c r="L205" s="48"/>
      <c r="M205" s="48"/>
      <c r="N205" s="48"/>
      <c r="O205" s="47"/>
      <c r="P205" s="9"/>
      <c r="Q205" s="9"/>
      <c r="R205" s="49"/>
      <c r="S205" s="49"/>
      <c r="T205" s="9"/>
      <c r="U205" s="9"/>
    </row>
    <row r="206" spans="1:22">
      <c r="A206" s="54" t="s">
        <v>55</v>
      </c>
      <c r="B206" s="3" t="s">
        <v>197</v>
      </c>
      <c r="C206" s="4"/>
      <c r="D206" s="4"/>
      <c r="E206" s="46"/>
      <c r="F206" s="52"/>
      <c r="G206" s="52"/>
      <c r="H206" s="4"/>
      <c r="I206" s="52"/>
      <c r="J206" s="75"/>
      <c r="K206" s="4"/>
      <c r="L206" s="52"/>
      <c r="M206" s="75"/>
      <c r="N206" s="52"/>
      <c r="O206" s="329"/>
      <c r="P206" s="63"/>
      <c r="Q206" s="63"/>
      <c r="R206" s="63"/>
      <c r="S206" s="63"/>
      <c r="T206" s="65"/>
      <c r="U206" s="49"/>
      <c r="V206" s="41"/>
    </row>
    <row r="207" spans="1:22">
      <c r="A207" s="54"/>
      <c r="B207" s="55" t="s">
        <v>42</v>
      </c>
      <c r="C207" s="4"/>
      <c r="D207" s="4"/>
      <c r="E207" s="47"/>
      <c r="F207" s="4"/>
      <c r="G207" s="4"/>
      <c r="H207" s="47"/>
      <c r="I207" s="48"/>
      <c r="J207" s="48"/>
      <c r="K207" s="47"/>
      <c r="L207" s="48"/>
      <c r="M207" s="48"/>
      <c r="N207" s="48"/>
      <c r="O207" s="47"/>
      <c r="P207" s="49">
        <f>O207*K207</f>
        <v>0</v>
      </c>
      <c r="Q207" s="49"/>
      <c r="R207" s="49"/>
      <c r="S207" s="49"/>
      <c r="T207" s="49"/>
      <c r="U207" s="49">
        <f t="shared" ref="U207:U208" si="47">SUM(P207:T207)</f>
        <v>0</v>
      </c>
      <c r="V207" s="29">
        <f>SUM(U208:U235)</f>
        <v>486983000</v>
      </c>
    </row>
    <row r="208" spans="1:22">
      <c r="A208" s="54"/>
      <c r="B208" s="100" t="s">
        <v>70</v>
      </c>
      <c r="C208" s="4"/>
      <c r="D208" s="4"/>
      <c r="E208" s="47"/>
      <c r="F208" s="4"/>
      <c r="G208" s="4"/>
      <c r="H208" s="47"/>
      <c r="I208" s="48"/>
      <c r="J208" s="48"/>
      <c r="K208" s="47">
        <v>1</v>
      </c>
      <c r="L208" s="48" t="s">
        <v>200</v>
      </c>
      <c r="M208" s="48" t="s">
        <v>27</v>
      </c>
      <c r="N208" s="48" t="s">
        <v>28</v>
      </c>
      <c r="O208" s="47">
        <v>200000</v>
      </c>
      <c r="P208" s="63">
        <f>O208*K208</f>
        <v>200000</v>
      </c>
      <c r="Q208" s="63"/>
      <c r="R208" s="63"/>
      <c r="S208" s="63"/>
      <c r="T208" s="49"/>
      <c r="U208" s="49">
        <f t="shared" si="47"/>
        <v>200000</v>
      </c>
      <c r="V208" s="29"/>
    </row>
    <row r="209" spans="1:22" s="5" customFormat="1" ht="13.8">
      <c r="A209" s="6"/>
      <c r="B209" s="43"/>
      <c r="C209" s="4"/>
      <c r="D209" s="4"/>
      <c r="E209" s="47"/>
      <c r="F209" s="4"/>
      <c r="G209" s="4"/>
      <c r="H209" s="47"/>
      <c r="I209" s="48"/>
      <c r="J209" s="48"/>
      <c r="K209" s="47"/>
      <c r="L209" s="48"/>
      <c r="M209" s="48"/>
      <c r="N209" s="48"/>
      <c r="O209" s="47"/>
      <c r="P209" s="9"/>
      <c r="Q209" s="9"/>
      <c r="R209" s="49"/>
      <c r="S209" s="49"/>
      <c r="T209" s="9"/>
      <c r="U209" s="8"/>
      <c r="V209" s="95"/>
    </row>
    <row r="210" spans="1:22" s="87" customFormat="1" ht="13.8" thickBot="1">
      <c r="A210" s="84"/>
      <c r="B210" s="484" t="s">
        <v>33</v>
      </c>
      <c r="C210" s="485"/>
      <c r="D210" s="485"/>
      <c r="E210" s="485"/>
      <c r="F210" s="485"/>
      <c r="G210" s="485"/>
      <c r="H210" s="485"/>
      <c r="I210" s="485"/>
      <c r="J210" s="485"/>
      <c r="K210" s="485"/>
      <c r="L210" s="485"/>
      <c r="M210" s="485"/>
      <c r="N210" s="485"/>
      <c r="O210" s="504"/>
      <c r="P210" s="85">
        <f>SUM(P19:P158)</f>
        <v>177145000</v>
      </c>
      <c r="Q210" s="85"/>
      <c r="R210" s="85">
        <f>SUM(R18:R158)</f>
        <v>295912000</v>
      </c>
      <c r="S210" s="85">
        <f>SUM(S18:S158)</f>
        <v>7500000</v>
      </c>
      <c r="T210" s="85">
        <f>SUM(T17:T158)</f>
        <v>13540000</v>
      </c>
      <c r="U210" s="85">
        <f>SUM(U19:U209)</f>
        <v>486783000</v>
      </c>
      <c r="V210" s="86"/>
    </row>
    <row r="211" spans="1:22" s="87" customFormat="1" ht="13.8" thickTop="1">
      <c r="A211" s="186"/>
      <c r="B211" s="187"/>
      <c r="C211" s="187"/>
      <c r="D211" s="187"/>
      <c r="E211" s="187"/>
      <c r="F211" s="187"/>
      <c r="G211" s="187"/>
      <c r="H211" s="187"/>
      <c r="I211" s="187"/>
      <c r="J211" s="187"/>
      <c r="K211" s="187"/>
      <c r="L211" s="187"/>
      <c r="M211" s="187"/>
      <c r="N211" s="187"/>
      <c r="O211" s="187"/>
      <c r="P211" s="188"/>
      <c r="Q211" s="188"/>
      <c r="R211" s="188"/>
      <c r="S211" s="188"/>
      <c r="T211" s="188"/>
      <c r="U211" s="188"/>
      <c r="V211" s="176"/>
    </row>
    <row r="212" spans="1:22" s="15" customFormat="1" ht="13.8">
      <c r="B212" s="12"/>
      <c r="F212" s="90"/>
      <c r="H212" s="90"/>
      <c r="I212" s="90"/>
      <c r="K212" s="90"/>
      <c r="L212" s="90"/>
      <c r="M212" s="90"/>
      <c r="O212" s="20"/>
      <c r="P212" s="20"/>
      <c r="Q212" s="20"/>
      <c r="S212" s="20" t="s">
        <v>633</v>
      </c>
      <c r="U212" s="12"/>
    </row>
    <row r="213" spans="1:22" s="15" customFormat="1" ht="13.8">
      <c r="B213" s="12"/>
      <c r="F213" s="90"/>
      <c r="H213" s="90"/>
      <c r="I213" s="90"/>
      <c r="K213" s="90"/>
      <c r="L213" s="90"/>
      <c r="M213" s="90"/>
      <c r="O213" s="20"/>
      <c r="P213" s="20"/>
      <c r="Q213" s="20"/>
      <c r="S213" s="20" t="s">
        <v>176</v>
      </c>
      <c r="U213" s="12"/>
    </row>
    <row r="214" spans="1:22" s="15" customFormat="1" ht="13.8">
      <c r="B214" s="12"/>
      <c r="F214" s="90"/>
      <c r="H214" s="90"/>
      <c r="I214" s="90"/>
      <c r="K214" s="90"/>
      <c r="L214" s="90"/>
      <c r="M214" s="90"/>
      <c r="O214" s="20"/>
      <c r="P214" s="20"/>
      <c r="Q214" s="20"/>
      <c r="S214" s="20" t="s">
        <v>177</v>
      </c>
      <c r="U214" s="12"/>
    </row>
    <row r="215" spans="1:22" s="15" customFormat="1" ht="13.8">
      <c r="B215" s="12"/>
      <c r="F215" s="90"/>
      <c r="H215" s="90"/>
      <c r="I215" s="90"/>
      <c r="K215" s="90"/>
      <c r="L215" s="90"/>
      <c r="M215" s="90"/>
      <c r="O215" s="20"/>
      <c r="P215" s="20"/>
      <c r="Q215" s="20"/>
      <c r="S215" s="20"/>
      <c r="U215" s="12"/>
    </row>
    <row r="216" spans="1:22" s="15" customFormat="1" ht="13.8">
      <c r="B216" s="12"/>
      <c r="F216" s="90"/>
      <c r="H216" s="90"/>
      <c r="I216" s="90"/>
      <c r="K216" s="90"/>
      <c r="L216" s="90"/>
      <c r="M216" s="90"/>
      <c r="O216" s="20"/>
      <c r="P216" s="20"/>
      <c r="Q216" s="20"/>
      <c r="S216" s="20"/>
      <c r="U216" s="12"/>
    </row>
    <row r="217" spans="1:22" s="15" customFormat="1" ht="13.8">
      <c r="B217" s="12"/>
      <c r="F217" s="90"/>
      <c r="H217" s="90"/>
      <c r="I217" s="90"/>
      <c r="K217" s="90"/>
      <c r="L217" s="90"/>
      <c r="M217" s="90"/>
      <c r="O217" s="20"/>
      <c r="P217" s="20"/>
      <c r="Q217" s="20"/>
      <c r="S217" s="20"/>
      <c r="U217" s="12"/>
    </row>
    <row r="218" spans="1:22" s="15" customFormat="1" ht="13.8">
      <c r="B218" s="12"/>
      <c r="F218" s="90"/>
      <c r="H218" s="90"/>
      <c r="I218" s="90"/>
      <c r="K218" s="90"/>
      <c r="L218" s="90"/>
      <c r="M218" s="90"/>
      <c r="O218" s="20"/>
      <c r="P218" s="20"/>
      <c r="Q218" s="20"/>
      <c r="S218" s="20" t="s">
        <v>187</v>
      </c>
      <c r="U218" s="12"/>
    </row>
    <row r="219" spans="1:22">
      <c r="A219" s="88"/>
      <c r="S219" s="20" t="s">
        <v>174</v>
      </c>
      <c r="U219" s="34"/>
      <c r="V219" s="29"/>
    </row>
    <row r="220" spans="1:22">
      <c r="A220" s="88"/>
    </row>
    <row r="221" spans="1:22" s="15" customFormat="1" ht="13.8">
      <c r="B221" s="12"/>
      <c r="F221" s="90"/>
      <c r="H221" s="90"/>
      <c r="I221" s="90"/>
      <c r="K221" s="90"/>
      <c r="L221" s="90"/>
      <c r="M221" s="90"/>
      <c r="O221" s="20"/>
      <c r="P221" s="20"/>
      <c r="Q221" s="20"/>
      <c r="R221" s="12"/>
      <c r="S221" s="12"/>
      <c r="T221" s="12"/>
      <c r="U221" s="20"/>
      <c r="V221" s="14"/>
    </row>
    <row r="222" spans="1:22" s="15" customFormat="1" ht="13.8">
      <c r="B222" s="12"/>
      <c r="F222" s="90"/>
      <c r="H222" s="90"/>
      <c r="I222" s="90"/>
      <c r="K222" s="90"/>
      <c r="L222" s="90"/>
      <c r="M222" s="90"/>
      <c r="O222" s="20"/>
      <c r="P222" s="20"/>
      <c r="Q222" s="20"/>
      <c r="R222" s="12"/>
      <c r="S222" s="12"/>
      <c r="T222" s="12"/>
      <c r="U222" s="20"/>
      <c r="V222" s="14"/>
    </row>
    <row r="223" spans="1:22" s="15" customFormat="1" ht="13.8">
      <c r="B223" s="12"/>
      <c r="F223" s="90"/>
      <c r="H223" s="90"/>
      <c r="I223" s="90"/>
      <c r="K223" s="90"/>
      <c r="L223" s="90"/>
      <c r="M223" s="90"/>
      <c r="O223" s="20"/>
      <c r="P223" s="20"/>
      <c r="Q223" s="20"/>
      <c r="R223" s="12"/>
      <c r="S223" s="12"/>
      <c r="T223" s="12"/>
      <c r="U223" s="20"/>
      <c r="V223" s="14"/>
    </row>
    <row r="224" spans="1:22" s="15" customFormat="1" ht="13.8">
      <c r="B224" s="12"/>
      <c r="F224" s="90"/>
      <c r="H224" s="90"/>
      <c r="I224" s="90"/>
      <c r="K224" s="90"/>
      <c r="L224" s="90"/>
      <c r="M224" s="90"/>
      <c r="O224" s="20"/>
      <c r="P224" s="20"/>
      <c r="Q224" s="20"/>
      <c r="R224" s="12"/>
      <c r="S224" s="12"/>
      <c r="T224" s="12"/>
      <c r="U224" s="20"/>
      <c r="V224" s="14"/>
    </row>
    <row r="225" spans="2:22" s="15" customFormat="1" ht="13.8">
      <c r="B225" s="12"/>
      <c r="F225" s="90"/>
      <c r="H225" s="90"/>
      <c r="I225" s="90"/>
      <c r="K225" s="90"/>
      <c r="L225" s="90"/>
      <c r="M225" s="90"/>
      <c r="O225" s="20"/>
      <c r="P225" s="20"/>
      <c r="Q225" s="20"/>
      <c r="R225" s="12"/>
      <c r="S225" s="12"/>
      <c r="T225" s="12"/>
      <c r="U225" s="20"/>
      <c r="V225" s="14"/>
    </row>
    <row r="226" spans="2:22" s="15" customFormat="1" ht="13.8">
      <c r="B226" s="12"/>
      <c r="F226" s="90"/>
      <c r="H226" s="90"/>
      <c r="I226" s="90"/>
      <c r="K226" s="90"/>
      <c r="L226" s="90"/>
      <c r="M226" s="90"/>
      <c r="O226" s="20"/>
      <c r="P226" s="20"/>
      <c r="Q226" s="20"/>
      <c r="R226" s="12"/>
      <c r="S226" s="12"/>
      <c r="T226" s="12"/>
      <c r="U226" s="20"/>
      <c r="V226" s="14"/>
    </row>
    <row r="227" spans="2:22" s="15" customFormat="1" ht="13.8">
      <c r="B227" s="12"/>
      <c r="F227" s="90"/>
      <c r="H227" s="90"/>
      <c r="I227" s="90"/>
      <c r="K227" s="90"/>
      <c r="L227" s="90"/>
      <c r="M227" s="90"/>
      <c r="O227" s="20"/>
      <c r="P227" s="20"/>
      <c r="Q227" s="20"/>
      <c r="R227" s="12"/>
      <c r="S227" s="12"/>
      <c r="T227" s="12"/>
      <c r="U227" s="20"/>
      <c r="V227" s="14"/>
    </row>
    <row r="228" spans="2:22" s="15" customFormat="1" ht="13.8">
      <c r="B228" s="12"/>
      <c r="F228" s="90"/>
      <c r="H228" s="90"/>
      <c r="I228" s="90"/>
      <c r="K228" s="90"/>
      <c r="L228" s="90"/>
      <c r="M228" s="90"/>
      <c r="O228" s="20"/>
      <c r="P228" s="20"/>
      <c r="Q228" s="20"/>
      <c r="R228" s="12"/>
      <c r="S228" s="12"/>
      <c r="T228" s="12"/>
      <c r="U228" s="20"/>
      <c r="V228" s="14"/>
    </row>
    <row r="229" spans="2:22" s="15" customFormat="1">
      <c r="F229" s="90"/>
      <c r="G229" s="90"/>
      <c r="I229" s="90"/>
      <c r="J229" s="90"/>
      <c r="L229" s="90"/>
      <c r="M229" s="90"/>
      <c r="N229" s="90"/>
      <c r="P229" s="20"/>
      <c r="Q229" s="20"/>
      <c r="R229" s="20"/>
      <c r="S229" s="20"/>
      <c r="T229" s="20"/>
      <c r="U229" s="20"/>
      <c r="V229" s="14"/>
    </row>
  </sheetData>
  <mergeCells count="10">
    <mergeCell ref="B17:O17"/>
    <mergeCell ref="B210:O210"/>
    <mergeCell ref="A1:U1"/>
    <mergeCell ref="A14:A16"/>
    <mergeCell ref="B14:O14"/>
    <mergeCell ref="B15:O15"/>
    <mergeCell ref="B16:O16"/>
    <mergeCell ref="P14:T14"/>
    <mergeCell ref="U14:U16"/>
    <mergeCell ref="E12:F12"/>
  </mergeCells>
  <printOptions horizontalCentered="1"/>
  <pageMargins left="0.45" right="0.45" top="1" bottom="0.5" header="0.3" footer="0.3"/>
  <pageSetup paperSize="9" scale="72" fitToHeight="10" orientation="landscape" horizontalDpi="4294967293" verticalDpi="4294967293" r:id="rId1"/>
  <headerFooter>
    <oddFooter>&amp;LPeserta Internalisasi Pelestarian Cagar Budaya&amp;R&amp;P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105"/>
  <sheetViews>
    <sheetView view="pageBreakPreview" topLeftCell="A25" zoomScale="75" zoomScaleSheetLayoutView="75" workbookViewId="0">
      <selection activeCell="P93" sqref="P93"/>
    </sheetView>
  </sheetViews>
  <sheetFormatPr defaultColWidth="8.88671875" defaultRowHeight="13.2"/>
  <cols>
    <col min="1" max="1" width="8.88671875" style="29"/>
    <col min="2" max="2" width="21.6640625" style="29" customWidth="1"/>
    <col min="3" max="3" width="3.109375" style="29" customWidth="1"/>
    <col min="4" max="5" width="8.88671875" style="29"/>
    <col min="6" max="7" width="8.88671875" style="89"/>
    <col min="8" max="8" width="6.88671875" style="29" bestFit="1" customWidth="1"/>
    <col min="9" max="9" width="4.6640625" style="89" bestFit="1" customWidth="1"/>
    <col min="10" max="10" width="3" style="89" bestFit="1" customWidth="1"/>
    <col min="11" max="11" width="6.109375" style="29" bestFit="1" customWidth="1"/>
    <col min="12" max="12" width="5.44140625" style="89" bestFit="1" customWidth="1"/>
    <col min="13" max="13" width="3.33203125" style="89" bestFit="1" customWidth="1"/>
    <col min="14" max="14" width="4.5546875" style="89" bestFit="1" customWidth="1"/>
    <col min="15" max="15" width="14.33203125" style="29" bestFit="1" customWidth="1"/>
    <col min="16" max="16" width="11.88671875" style="28" customWidth="1"/>
    <col min="17" max="17" width="12.6640625" style="28" customWidth="1"/>
    <col min="18" max="18" width="14.33203125" style="28" customWidth="1"/>
    <col min="19" max="19" width="13.6640625" style="28" customWidth="1"/>
    <col min="20" max="20" width="13.33203125" style="28" customWidth="1"/>
    <col min="21" max="21" width="13.33203125" style="28" bestFit="1" customWidth="1"/>
    <col min="22" max="22" width="13.44140625" style="34" bestFit="1" customWidth="1"/>
    <col min="23" max="16384" width="8.88671875" style="29"/>
  </cols>
  <sheetData>
    <row r="1" spans="1:22" s="16" customFormat="1">
      <c r="A1" s="486" t="s">
        <v>565</v>
      </c>
      <c r="B1" s="486"/>
      <c r="C1" s="486"/>
      <c r="D1" s="486"/>
      <c r="E1" s="486"/>
      <c r="F1" s="486"/>
      <c r="G1" s="486"/>
      <c r="H1" s="486"/>
      <c r="I1" s="486"/>
      <c r="J1" s="486"/>
      <c r="K1" s="486"/>
      <c r="L1" s="486"/>
      <c r="M1" s="486"/>
      <c r="N1" s="486"/>
      <c r="O1" s="486"/>
      <c r="P1" s="486"/>
      <c r="Q1" s="486"/>
      <c r="R1" s="486"/>
      <c r="S1" s="486"/>
      <c r="T1" s="486"/>
      <c r="U1" s="486"/>
      <c r="V1" s="14"/>
    </row>
    <row r="2" spans="1:22" s="16" customFormat="1">
      <c r="A2" s="17"/>
      <c r="B2" s="17"/>
      <c r="C2" s="17"/>
      <c r="D2" s="18"/>
      <c r="E2" s="17"/>
      <c r="F2" s="17"/>
      <c r="G2" s="17"/>
      <c r="H2" s="17"/>
      <c r="I2" s="17"/>
      <c r="J2" s="17"/>
      <c r="K2" s="17"/>
      <c r="L2" s="17"/>
      <c r="M2" s="17"/>
      <c r="N2" s="19"/>
      <c r="O2" s="19"/>
      <c r="P2" s="19"/>
      <c r="Q2" s="19"/>
      <c r="R2" s="19"/>
      <c r="S2" s="19"/>
      <c r="T2" s="19"/>
      <c r="U2" s="20"/>
      <c r="V2" s="14"/>
    </row>
    <row r="3" spans="1:22" s="16" customFormat="1">
      <c r="A3" s="21" t="s">
        <v>1</v>
      </c>
      <c r="B3" s="21"/>
      <c r="C3" s="22" t="s">
        <v>2</v>
      </c>
      <c r="D3" s="1" t="s">
        <v>236</v>
      </c>
      <c r="E3" s="1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V3" s="78"/>
    </row>
    <row r="4" spans="1:22" s="16" customFormat="1">
      <c r="A4" s="21" t="s">
        <v>4</v>
      </c>
      <c r="B4" s="21"/>
      <c r="C4" s="22" t="s">
        <v>2</v>
      </c>
      <c r="D4" s="1" t="s">
        <v>34</v>
      </c>
      <c r="E4" s="1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V4" s="78"/>
    </row>
    <row r="5" spans="1:22" s="16" customFormat="1">
      <c r="A5" s="21" t="s">
        <v>5</v>
      </c>
      <c r="B5" s="21"/>
      <c r="C5" s="22" t="s">
        <v>2</v>
      </c>
      <c r="D5" s="1" t="s">
        <v>37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V5" s="78"/>
    </row>
    <row r="6" spans="1:22" s="16" customFormat="1">
      <c r="A6" s="21" t="s">
        <v>6</v>
      </c>
      <c r="B6" s="21"/>
      <c r="C6" s="22" t="s">
        <v>2</v>
      </c>
      <c r="D6" s="98" t="s">
        <v>192</v>
      </c>
      <c r="E6" s="1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V6" s="78"/>
    </row>
    <row r="7" spans="1:22" s="16" customFormat="1">
      <c r="A7" s="21" t="s">
        <v>7</v>
      </c>
      <c r="B7" s="21"/>
      <c r="C7" s="22" t="s">
        <v>2</v>
      </c>
      <c r="D7" s="1" t="s">
        <v>35</v>
      </c>
      <c r="E7" s="1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V7" s="78"/>
    </row>
    <row r="8" spans="1:22" s="16" customFormat="1">
      <c r="A8" s="21" t="s">
        <v>8</v>
      </c>
      <c r="B8" s="21"/>
      <c r="C8" s="22" t="s">
        <v>2</v>
      </c>
      <c r="D8" s="16" t="s">
        <v>81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V8" s="78"/>
    </row>
    <row r="9" spans="1:22" s="16" customFormat="1">
      <c r="A9" s="21" t="s">
        <v>9</v>
      </c>
      <c r="B9" s="21"/>
      <c r="C9" s="22" t="s">
        <v>2</v>
      </c>
      <c r="D9" s="13" t="s">
        <v>82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2"/>
      <c r="R9" s="2"/>
      <c r="V9" s="78"/>
    </row>
    <row r="10" spans="1:22" s="16" customFormat="1">
      <c r="A10" s="21" t="s">
        <v>10</v>
      </c>
      <c r="B10" s="21"/>
      <c r="C10" s="22" t="s">
        <v>2</v>
      </c>
      <c r="D10" s="1" t="s">
        <v>83</v>
      </c>
      <c r="E10" s="15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V10" s="78"/>
    </row>
    <row r="11" spans="1:22" s="16" customFormat="1">
      <c r="A11" s="21" t="s">
        <v>11</v>
      </c>
      <c r="B11" s="21"/>
      <c r="C11" s="22" t="s">
        <v>2</v>
      </c>
      <c r="D11" s="206" t="s">
        <v>561</v>
      </c>
      <c r="E11" s="1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V11" s="78"/>
    </row>
    <row r="12" spans="1:22" s="16" customFormat="1">
      <c r="A12" s="22" t="s">
        <v>12</v>
      </c>
      <c r="C12" s="22" t="s">
        <v>2</v>
      </c>
      <c r="D12" s="23" t="s">
        <v>13</v>
      </c>
      <c r="E12" s="505">
        <f>U87</f>
        <v>374780000</v>
      </c>
      <c r="F12" s="505"/>
      <c r="G12" s="23"/>
      <c r="H12" s="23"/>
      <c r="I12" s="22"/>
      <c r="J12" s="22"/>
      <c r="K12" s="22"/>
      <c r="L12" s="24"/>
      <c r="M12" s="22"/>
      <c r="N12" s="25"/>
      <c r="O12" s="26"/>
      <c r="P12" s="27"/>
      <c r="Q12" s="27"/>
      <c r="R12" s="27"/>
      <c r="S12" s="27"/>
      <c r="T12" s="27"/>
      <c r="U12" s="28"/>
      <c r="V12" s="34"/>
    </row>
    <row r="13" spans="1:22" s="16" customFormat="1" ht="13.8" thickBot="1">
      <c r="A13" s="22"/>
      <c r="B13" s="30"/>
      <c r="F13" s="31"/>
      <c r="G13" s="31"/>
      <c r="H13" s="31"/>
      <c r="J13" s="31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78"/>
    </row>
    <row r="14" spans="1:22" s="16" customFormat="1" ht="13.8" thickTop="1">
      <c r="A14" s="487" t="s">
        <v>14</v>
      </c>
      <c r="B14" s="490" t="s">
        <v>15</v>
      </c>
      <c r="C14" s="491"/>
      <c r="D14" s="491"/>
      <c r="E14" s="491"/>
      <c r="F14" s="491"/>
      <c r="G14" s="491"/>
      <c r="H14" s="491"/>
      <c r="I14" s="491"/>
      <c r="J14" s="491"/>
      <c r="K14" s="491"/>
      <c r="L14" s="491"/>
      <c r="M14" s="491"/>
      <c r="N14" s="491"/>
      <c r="O14" s="492"/>
      <c r="P14" s="493" t="s">
        <v>357</v>
      </c>
      <c r="Q14" s="493"/>
      <c r="R14" s="493"/>
      <c r="S14" s="493"/>
      <c r="T14" s="493"/>
      <c r="U14" s="495" t="s">
        <v>16</v>
      </c>
      <c r="V14" s="32"/>
    </row>
    <row r="15" spans="1:22" s="16" customFormat="1" ht="39.6">
      <c r="A15" s="488"/>
      <c r="B15" s="498" t="s">
        <v>17</v>
      </c>
      <c r="C15" s="499"/>
      <c r="D15" s="499"/>
      <c r="E15" s="499"/>
      <c r="F15" s="499"/>
      <c r="G15" s="499"/>
      <c r="H15" s="499"/>
      <c r="I15" s="499"/>
      <c r="J15" s="499"/>
      <c r="K15" s="499"/>
      <c r="L15" s="499"/>
      <c r="M15" s="499"/>
      <c r="N15" s="499"/>
      <c r="O15" s="500"/>
      <c r="P15" s="33" t="s">
        <v>18</v>
      </c>
      <c r="Q15" s="33" t="s">
        <v>48</v>
      </c>
      <c r="R15" s="33" t="s">
        <v>171</v>
      </c>
      <c r="S15" s="33" t="s">
        <v>84</v>
      </c>
      <c r="T15" s="33" t="s">
        <v>87</v>
      </c>
      <c r="U15" s="496"/>
      <c r="V15" s="32"/>
    </row>
    <row r="16" spans="1:22" s="16" customFormat="1">
      <c r="A16" s="489"/>
      <c r="B16" s="501" t="s">
        <v>19</v>
      </c>
      <c r="C16" s="502"/>
      <c r="D16" s="502"/>
      <c r="E16" s="502"/>
      <c r="F16" s="502"/>
      <c r="G16" s="502"/>
      <c r="H16" s="502"/>
      <c r="I16" s="502"/>
      <c r="J16" s="502"/>
      <c r="K16" s="502"/>
      <c r="L16" s="502"/>
      <c r="M16" s="502"/>
      <c r="N16" s="502"/>
      <c r="O16" s="503"/>
      <c r="P16" s="35" t="s">
        <v>20</v>
      </c>
      <c r="Q16" s="93">
        <v>521213</v>
      </c>
      <c r="R16" s="93">
        <v>521219</v>
      </c>
      <c r="S16" s="93">
        <v>521114</v>
      </c>
      <c r="T16" s="93">
        <v>522191</v>
      </c>
      <c r="U16" s="497"/>
      <c r="V16" s="32"/>
    </row>
    <row r="17" spans="1:22" s="191" customFormat="1">
      <c r="A17" s="189" t="s">
        <v>21</v>
      </c>
      <c r="B17" s="481">
        <v>2</v>
      </c>
      <c r="C17" s="482"/>
      <c r="D17" s="482"/>
      <c r="E17" s="482"/>
      <c r="F17" s="482"/>
      <c r="G17" s="482"/>
      <c r="H17" s="482"/>
      <c r="I17" s="482"/>
      <c r="J17" s="482"/>
      <c r="K17" s="482"/>
      <c r="L17" s="482"/>
      <c r="M17" s="482"/>
      <c r="N17" s="482"/>
      <c r="O17" s="483"/>
      <c r="P17" s="189" t="s">
        <v>22</v>
      </c>
      <c r="Q17" s="189" t="s">
        <v>23</v>
      </c>
      <c r="R17" s="189">
        <v>6</v>
      </c>
      <c r="S17" s="189">
        <v>7</v>
      </c>
      <c r="T17" s="189">
        <v>8</v>
      </c>
      <c r="U17" s="189" t="s">
        <v>25</v>
      </c>
      <c r="V17" s="190"/>
    </row>
    <row r="18" spans="1:22">
      <c r="A18" s="37"/>
      <c r="B18" s="38"/>
      <c r="C18" s="38"/>
      <c r="D18" s="38"/>
      <c r="E18" s="38"/>
      <c r="F18" s="39"/>
      <c r="G18" s="39"/>
      <c r="H18" s="38"/>
      <c r="I18" s="39"/>
      <c r="J18" s="39"/>
      <c r="K18" s="38"/>
      <c r="L18" s="39"/>
      <c r="M18" s="39"/>
      <c r="N18" s="39"/>
      <c r="O18" s="38"/>
      <c r="P18" s="40"/>
      <c r="Q18" s="40"/>
      <c r="R18" s="40"/>
      <c r="S18" s="40"/>
      <c r="T18" s="40"/>
      <c r="U18" s="40"/>
      <c r="V18" s="41"/>
    </row>
    <row r="19" spans="1:22">
      <c r="A19" s="107">
        <v>1</v>
      </c>
      <c r="B19" s="55" t="s">
        <v>81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43"/>
      <c r="Q19" s="43"/>
      <c r="R19" s="43"/>
      <c r="S19" s="43"/>
      <c r="T19" s="43"/>
      <c r="U19" s="50"/>
      <c r="V19" s="41">
        <f>SUM(U19:U45)</f>
        <v>77160000</v>
      </c>
    </row>
    <row r="20" spans="1:22" ht="13.8">
      <c r="A20" s="66" t="s">
        <v>195</v>
      </c>
      <c r="B20" s="113" t="s">
        <v>358</v>
      </c>
      <c r="C20" s="7"/>
      <c r="D20" s="7"/>
      <c r="E20" s="7"/>
      <c r="F20" s="7"/>
      <c r="G20" s="7"/>
      <c r="H20" s="74"/>
      <c r="I20" s="74"/>
      <c r="J20" s="74"/>
      <c r="K20" s="7"/>
      <c r="L20" s="92"/>
      <c r="M20" s="92"/>
      <c r="N20" s="92"/>
      <c r="O20" s="7"/>
      <c r="P20" s="63"/>
      <c r="Q20" s="63"/>
      <c r="R20" s="63"/>
      <c r="S20" s="63"/>
      <c r="T20" s="63"/>
      <c r="U20" s="63"/>
      <c r="V20" s="29"/>
    </row>
    <row r="21" spans="1:22" ht="13.8">
      <c r="A21" s="66" t="s">
        <v>49</v>
      </c>
      <c r="B21" s="113" t="s">
        <v>501</v>
      </c>
      <c r="C21" s="7"/>
      <c r="D21" s="7"/>
      <c r="E21" s="7"/>
      <c r="F21" s="7"/>
      <c r="G21" s="7"/>
      <c r="H21" s="74"/>
      <c r="I21" s="74"/>
      <c r="J21" s="74"/>
      <c r="K21" s="7"/>
      <c r="L21" s="92"/>
      <c r="M21" s="92"/>
      <c r="N21" s="92"/>
      <c r="O21" s="7"/>
      <c r="P21" s="63"/>
      <c r="Q21" s="63"/>
      <c r="R21" s="63"/>
      <c r="S21" s="63"/>
      <c r="T21" s="63"/>
      <c r="U21" s="63"/>
      <c r="V21" s="29"/>
    </row>
    <row r="22" spans="1:22">
      <c r="A22" s="54"/>
      <c r="B22" s="55" t="s">
        <v>42</v>
      </c>
      <c r="C22" s="4"/>
      <c r="D22" s="4"/>
      <c r="E22" s="47"/>
      <c r="F22" s="4"/>
      <c r="G22" s="4"/>
      <c r="H22" s="47"/>
      <c r="I22" s="48"/>
      <c r="J22" s="48"/>
      <c r="K22" s="47"/>
      <c r="L22" s="48"/>
      <c r="M22" s="48"/>
      <c r="N22" s="48"/>
      <c r="O22" s="57"/>
      <c r="P22" s="63"/>
      <c r="Q22" s="63"/>
      <c r="R22" s="63"/>
      <c r="S22" s="63"/>
      <c r="T22" s="63"/>
      <c r="U22" s="63"/>
      <c r="V22" s="29"/>
    </row>
    <row r="23" spans="1:22">
      <c r="A23" s="54"/>
      <c r="B23" s="43" t="s">
        <v>44</v>
      </c>
      <c r="C23" s="4"/>
      <c r="D23" s="4"/>
      <c r="E23" s="47"/>
      <c r="F23" s="4"/>
      <c r="G23" s="4"/>
      <c r="H23" s="47">
        <v>5</v>
      </c>
      <c r="I23" s="48" t="s">
        <v>30</v>
      </c>
      <c r="J23" s="48" t="s">
        <v>27</v>
      </c>
      <c r="K23" s="47">
        <v>5</v>
      </c>
      <c r="L23" s="48" t="s">
        <v>26</v>
      </c>
      <c r="M23" s="48" t="s">
        <v>27</v>
      </c>
      <c r="N23" s="48" t="s">
        <v>28</v>
      </c>
      <c r="O23" s="57">
        <v>50000</v>
      </c>
      <c r="P23" s="63">
        <f>O23*K23*H23</f>
        <v>1250000</v>
      </c>
      <c r="Q23" s="9"/>
      <c r="R23" s="9"/>
      <c r="S23" s="65"/>
      <c r="T23" s="65"/>
      <c r="U23" s="49">
        <f>P23</f>
        <v>1250000</v>
      </c>
      <c r="V23" s="29"/>
    </row>
    <row r="24" spans="1:22">
      <c r="A24" s="54"/>
      <c r="B24" s="43" t="s">
        <v>539</v>
      </c>
      <c r="C24" s="4"/>
      <c r="D24" s="4"/>
      <c r="E24" s="47"/>
      <c r="F24" s="4"/>
      <c r="G24" s="4"/>
      <c r="H24" s="47"/>
      <c r="I24" s="48"/>
      <c r="J24" s="48"/>
      <c r="K24" s="47">
        <v>1</v>
      </c>
      <c r="L24" s="48" t="s">
        <v>200</v>
      </c>
      <c r="M24" s="48" t="s">
        <v>27</v>
      </c>
      <c r="N24" s="48" t="s">
        <v>28</v>
      </c>
      <c r="O24" s="57">
        <v>300000</v>
      </c>
      <c r="P24" s="63">
        <f>O24*K24</f>
        <v>300000</v>
      </c>
      <c r="Q24" s="9"/>
      <c r="R24" s="9"/>
      <c r="S24" s="65"/>
      <c r="T24" s="65"/>
      <c r="U24" s="49">
        <f>P24</f>
        <v>300000</v>
      </c>
      <c r="V24" s="29"/>
    </row>
    <row r="25" spans="1:22">
      <c r="A25" s="54"/>
      <c r="B25" s="4"/>
      <c r="C25" s="4"/>
      <c r="D25" s="4"/>
      <c r="E25" s="47"/>
      <c r="F25" s="4"/>
      <c r="G25" s="4"/>
      <c r="H25" s="47"/>
      <c r="I25" s="48"/>
      <c r="J25" s="48"/>
      <c r="K25" s="47"/>
      <c r="L25" s="48"/>
      <c r="M25" s="48"/>
      <c r="N25" s="48"/>
      <c r="O25" s="47"/>
      <c r="P25" s="63"/>
      <c r="Q25" s="63"/>
      <c r="R25" s="63"/>
      <c r="S25" s="63"/>
      <c r="T25" s="63"/>
      <c r="U25" s="63"/>
      <c r="V25" s="29"/>
    </row>
    <row r="26" spans="1:22">
      <c r="A26" s="54" t="s">
        <v>50</v>
      </c>
      <c r="B26" s="46" t="s">
        <v>502</v>
      </c>
      <c r="C26" s="4"/>
      <c r="D26" s="4"/>
      <c r="E26" s="47"/>
      <c r="F26" s="4"/>
      <c r="G26" s="4"/>
      <c r="H26" s="47"/>
      <c r="I26" s="48"/>
      <c r="J26" s="48"/>
      <c r="K26" s="47"/>
      <c r="L26" s="48"/>
      <c r="M26" s="48"/>
      <c r="N26" s="48"/>
      <c r="O26" s="47"/>
      <c r="P26" s="63"/>
      <c r="Q26" s="63"/>
      <c r="R26" s="63"/>
      <c r="S26" s="63"/>
      <c r="T26" s="63"/>
      <c r="U26" s="63"/>
      <c r="V26" s="29"/>
    </row>
    <row r="27" spans="1:22">
      <c r="A27" s="66"/>
      <c r="B27" s="55" t="s">
        <v>86</v>
      </c>
      <c r="C27" s="4"/>
      <c r="D27" s="4"/>
      <c r="E27" s="47"/>
      <c r="F27" s="4"/>
      <c r="G27" s="4"/>
      <c r="H27" s="47"/>
      <c r="I27" s="48"/>
      <c r="J27" s="48"/>
      <c r="K27" s="47"/>
      <c r="L27" s="48"/>
      <c r="M27" s="48"/>
      <c r="N27" s="48"/>
      <c r="O27" s="47"/>
      <c r="P27" s="63"/>
      <c r="Q27" s="63"/>
      <c r="R27" s="63"/>
      <c r="S27" s="63"/>
      <c r="T27" s="63"/>
      <c r="U27" s="63"/>
      <c r="V27" s="29"/>
    </row>
    <row r="28" spans="1:22">
      <c r="A28" s="66"/>
      <c r="B28" s="110" t="s">
        <v>359</v>
      </c>
      <c r="C28" s="4"/>
      <c r="D28" s="4"/>
      <c r="E28" s="47"/>
      <c r="F28" s="4"/>
      <c r="G28" s="4"/>
      <c r="H28" s="47"/>
      <c r="I28" s="48"/>
      <c r="J28" s="48"/>
      <c r="K28" s="47">
        <v>300</v>
      </c>
      <c r="L28" s="48" t="s">
        <v>360</v>
      </c>
      <c r="M28" s="48" t="s">
        <v>27</v>
      </c>
      <c r="N28" s="48" t="s">
        <v>28</v>
      </c>
      <c r="O28" s="47">
        <v>50000</v>
      </c>
      <c r="P28" s="63"/>
      <c r="Q28" s="63"/>
      <c r="R28" s="63"/>
      <c r="S28" s="63">
        <f>O28*K28</f>
        <v>15000000</v>
      </c>
      <c r="T28" s="63"/>
      <c r="U28" s="63">
        <f>S28</f>
        <v>15000000</v>
      </c>
      <c r="V28" s="29"/>
    </row>
    <row r="29" spans="1:22">
      <c r="A29" s="66"/>
      <c r="B29" s="110"/>
      <c r="C29" s="4"/>
      <c r="D29" s="4"/>
      <c r="E29" s="47"/>
      <c r="F29" s="4"/>
      <c r="G29" s="4"/>
      <c r="H29" s="47"/>
      <c r="I29" s="48"/>
      <c r="J29" s="48"/>
      <c r="K29" s="47"/>
      <c r="L29" s="48"/>
      <c r="M29" s="48"/>
      <c r="N29" s="48"/>
      <c r="O29" s="47"/>
      <c r="P29" s="63"/>
      <c r="Q29" s="63"/>
      <c r="R29" s="63"/>
      <c r="S29" s="63"/>
      <c r="T29" s="63"/>
      <c r="U29" s="63"/>
      <c r="V29" s="29"/>
    </row>
    <row r="30" spans="1:22">
      <c r="A30" s="66"/>
      <c r="B30" s="106" t="s">
        <v>40</v>
      </c>
      <c r="C30" s="4"/>
      <c r="D30" s="4"/>
      <c r="E30" s="47"/>
      <c r="F30" s="4"/>
      <c r="G30" s="4"/>
      <c r="H30" s="47"/>
      <c r="I30" s="48"/>
      <c r="J30" s="48"/>
      <c r="K30" s="47"/>
      <c r="L30" s="48"/>
      <c r="M30" s="48"/>
      <c r="N30" s="48"/>
      <c r="O30" s="47"/>
      <c r="P30" s="63"/>
      <c r="Q30" s="63"/>
      <c r="R30" s="63"/>
      <c r="S30" s="63"/>
      <c r="T30" s="63"/>
      <c r="U30" s="63"/>
      <c r="V30" s="29"/>
    </row>
    <row r="31" spans="1:22">
      <c r="A31" s="66"/>
      <c r="B31" s="146" t="s">
        <v>601</v>
      </c>
      <c r="C31" s="4"/>
      <c r="D31" s="4"/>
      <c r="E31" s="47"/>
      <c r="F31" s="4"/>
      <c r="G31" s="4"/>
      <c r="H31" s="47">
        <v>1</v>
      </c>
      <c r="I31" s="48" t="s">
        <v>606</v>
      </c>
      <c r="J31" s="64" t="s">
        <v>27</v>
      </c>
      <c r="K31" s="47">
        <v>1</v>
      </c>
      <c r="L31" s="48" t="s">
        <v>607</v>
      </c>
      <c r="M31" s="48" t="s">
        <v>27</v>
      </c>
      <c r="N31" s="92" t="s">
        <v>28</v>
      </c>
      <c r="O31" s="47">
        <v>400000</v>
      </c>
      <c r="P31" s="63"/>
      <c r="Q31" s="63">
        <f t="shared" ref="Q31:Q35" si="0">O31*H31*K31</f>
        <v>400000</v>
      </c>
      <c r="R31" s="63"/>
      <c r="S31" s="63"/>
      <c r="T31" s="63"/>
      <c r="U31" s="63">
        <f t="shared" ref="U31:U35" si="1">Q31</f>
        <v>400000</v>
      </c>
      <c r="V31" s="29"/>
    </row>
    <row r="32" spans="1:22">
      <c r="A32" s="66"/>
      <c r="B32" s="146" t="s">
        <v>600</v>
      </c>
      <c r="C32" s="4"/>
      <c r="D32" s="4"/>
      <c r="E32" s="47"/>
      <c r="F32" s="4"/>
      <c r="G32" s="4"/>
      <c r="H32" s="47">
        <v>2</v>
      </c>
      <c r="I32" s="48" t="s">
        <v>606</v>
      </c>
      <c r="J32" s="64" t="s">
        <v>27</v>
      </c>
      <c r="K32" s="47">
        <v>1</v>
      </c>
      <c r="L32" s="48" t="s">
        <v>607</v>
      </c>
      <c r="M32" s="48" t="s">
        <v>27</v>
      </c>
      <c r="N32" s="92" t="s">
        <v>28</v>
      </c>
      <c r="O32" s="47">
        <v>300000</v>
      </c>
      <c r="P32" s="63"/>
      <c r="Q32" s="63">
        <f t="shared" si="0"/>
        <v>600000</v>
      </c>
      <c r="R32" s="63"/>
      <c r="S32" s="63"/>
      <c r="T32" s="63"/>
      <c r="U32" s="63">
        <f t="shared" si="1"/>
        <v>600000</v>
      </c>
      <c r="V32" s="29"/>
    </row>
    <row r="33" spans="1:22">
      <c r="A33" s="66"/>
      <c r="B33" s="146" t="s">
        <v>604</v>
      </c>
      <c r="C33" s="4"/>
      <c r="D33" s="4"/>
      <c r="E33" s="47"/>
      <c r="F33" s="4"/>
      <c r="G33" s="4"/>
      <c r="H33" s="47">
        <v>2</v>
      </c>
      <c r="I33" s="48" t="s">
        <v>606</v>
      </c>
      <c r="J33" s="64" t="s">
        <v>27</v>
      </c>
      <c r="K33" s="47">
        <v>1</v>
      </c>
      <c r="L33" s="48" t="s">
        <v>607</v>
      </c>
      <c r="M33" s="48" t="s">
        <v>27</v>
      </c>
      <c r="N33" s="92" t="s">
        <v>28</v>
      </c>
      <c r="O33" s="47">
        <v>250000</v>
      </c>
      <c r="P33" s="63"/>
      <c r="Q33" s="63">
        <f t="shared" si="0"/>
        <v>500000</v>
      </c>
      <c r="R33" s="63"/>
      <c r="S33" s="63"/>
      <c r="T33" s="63"/>
      <c r="U33" s="63">
        <f t="shared" si="1"/>
        <v>500000</v>
      </c>
      <c r="V33" s="29"/>
    </row>
    <row r="34" spans="1:22">
      <c r="A34" s="66"/>
      <c r="B34" s="146" t="s">
        <v>602</v>
      </c>
      <c r="C34" s="4"/>
      <c r="D34" s="4"/>
      <c r="E34" s="47"/>
      <c r="F34" s="4"/>
      <c r="G34" s="4"/>
      <c r="H34" s="47">
        <v>2</v>
      </c>
      <c r="I34" s="48" t="s">
        <v>606</v>
      </c>
      <c r="J34" s="64" t="s">
        <v>27</v>
      </c>
      <c r="K34" s="47">
        <v>1</v>
      </c>
      <c r="L34" s="48" t="s">
        <v>607</v>
      </c>
      <c r="M34" s="48" t="s">
        <v>27</v>
      </c>
      <c r="N34" s="92" t="s">
        <v>28</v>
      </c>
      <c r="O34" s="47">
        <v>180000</v>
      </c>
      <c r="P34" s="63"/>
      <c r="Q34" s="63">
        <f t="shared" si="0"/>
        <v>360000</v>
      </c>
      <c r="R34" s="63"/>
      <c r="S34" s="63"/>
      <c r="T34" s="63"/>
      <c r="U34" s="63">
        <f t="shared" si="1"/>
        <v>360000</v>
      </c>
      <c r="V34" s="29"/>
    </row>
    <row r="35" spans="1:22">
      <c r="A35" s="66"/>
      <c r="B35" s="146" t="s">
        <v>603</v>
      </c>
      <c r="C35" s="4"/>
      <c r="D35" s="4"/>
      <c r="E35" s="47"/>
      <c r="F35" s="4"/>
      <c r="G35" s="4"/>
      <c r="H35" s="47">
        <v>2</v>
      </c>
      <c r="I35" s="48" t="s">
        <v>606</v>
      </c>
      <c r="J35" s="64" t="s">
        <v>27</v>
      </c>
      <c r="K35" s="47">
        <v>1</v>
      </c>
      <c r="L35" s="48" t="s">
        <v>607</v>
      </c>
      <c r="M35" s="48" t="s">
        <v>27</v>
      </c>
      <c r="N35" s="92" t="s">
        <v>28</v>
      </c>
      <c r="O35" s="47">
        <v>150000</v>
      </c>
      <c r="P35" s="63"/>
      <c r="Q35" s="63">
        <f t="shared" si="0"/>
        <v>300000</v>
      </c>
      <c r="R35" s="63"/>
      <c r="S35" s="63"/>
      <c r="T35" s="63"/>
      <c r="U35" s="63">
        <f t="shared" si="1"/>
        <v>300000</v>
      </c>
      <c r="V35" s="29"/>
    </row>
    <row r="36" spans="1:22">
      <c r="A36" s="66"/>
      <c r="B36" s="146" t="s">
        <v>605</v>
      </c>
      <c r="C36" s="4"/>
      <c r="D36" s="4"/>
      <c r="E36" s="47"/>
      <c r="F36" s="4"/>
      <c r="G36" s="4"/>
      <c r="H36" s="47">
        <v>14</v>
      </c>
      <c r="I36" s="48" t="s">
        <v>30</v>
      </c>
      <c r="J36" s="64" t="s">
        <v>27</v>
      </c>
      <c r="K36" s="47">
        <v>20</v>
      </c>
      <c r="L36" s="48" t="s">
        <v>180</v>
      </c>
      <c r="M36" s="64" t="s">
        <v>27</v>
      </c>
      <c r="N36" s="48" t="s">
        <v>28</v>
      </c>
      <c r="O36" s="47">
        <v>100000</v>
      </c>
      <c r="P36" s="63"/>
      <c r="Q36" s="63">
        <f>O36*H36*K36</f>
        <v>28000000</v>
      </c>
      <c r="R36" s="63"/>
      <c r="S36" s="63"/>
      <c r="T36" s="63"/>
      <c r="U36" s="63">
        <f t="shared" ref="U36:U37" si="2">Q36</f>
        <v>28000000</v>
      </c>
      <c r="V36" s="29"/>
    </row>
    <row r="37" spans="1:22">
      <c r="A37" s="66"/>
      <c r="B37" s="46" t="s">
        <v>29</v>
      </c>
      <c r="C37" s="67"/>
      <c r="D37" s="67"/>
      <c r="E37" s="68"/>
      <c r="F37" s="67"/>
      <c r="G37" s="67"/>
      <c r="H37" s="59"/>
      <c r="I37" s="60"/>
      <c r="J37" s="61"/>
      <c r="K37" s="59"/>
      <c r="L37" s="60"/>
      <c r="M37" s="61"/>
      <c r="N37" s="60"/>
      <c r="O37" s="62"/>
      <c r="P37" s="63"/>
      <c r="Q37" s="63"/>
      <c r="R37" s="63"/>
      <c r="S37" s="63"/>
      <c r="T37" s="63"/>
      <c r="U37" s="63">
        <f t="shared" si="2"/>
        <v>0</v>
      </c>
      <c r="V37" s="29"/>
    </row>
    <row r="38" spans="1:22" ht="13.8">
      <c r="A38" s="66"/>
      <c r="B38" s="91" t="s">
        <v>45</v>
      </c>
      <c r="C38" s="7"/>
      <c r="D38" s="7"/>
      <c r="E38" s="7"/>
      <c r="F38" s="7"/>
      <c r="G38" s="7"/>
      <c r="H38" s="74"/>
      <c r="I38" s="74"/>
      <c r="J38" s="74"/>
      <c r="K38" s="7">
        <v>2</v>
      </c>
      <c r="L38" s="92" t="s">
        <v>46</v>
      </c>
      <c r="M38" s="92" t="s">
        <v>27</v>
      </c>
      <c r="N38" s="92" t="s">
        <v>28</v>
      </c>
      <c r="O38" s="7">
        <v>50000</v>
      </c>
      <c r="P38" s="63"/>
      <c r="Q38" s="63"/>
      <c r="R38" s="63"/>
      <c r="S38" s="63">
        <f>O38*K38</f>
        <v>100000</v>
      </c>
      <c r="T38" s="63"/>
      <c r="U38" s="63">
        <f>S38</f>
        <v>100000</v>
      </c>
      <c r="V38" s="29"/>
    </row>
    <row r="39" spans="1:22" ht="13.8">
      <c r="A39" s="66"/>
      <c r="B39" s="91"/>
      <c r="C39" s="7"/>
      <c r="D39" s="7"/>
      <c r="E39" s="7"/>
      <c r="F39" s="7"/>
      <c r="G39" s="7"/>
      <c r="H39" s="74"/>
      <c r="I39" s="74"/>
      <c r="J39" s="74"/>
      <c r="K39" s="7"/>
      <c r="L39" s="92"/>
      <c r="M39" s="92"/>
      <c r="N39" s="92"/>
      <c r="O39" s="7"/>
      <c r="P39" s="63"/>
      <c r="Q39" s="63"/>
      <c r="R39" s="63"/>
      <c r="S39" s="63"/>
      <c r="T39" s="63"/>
      <c r="U39" s="63"/>
      <c r="V39" s="29"/>
    </row>
    <row r="40" spans="1:22">
      <c r="A40" s="54"/>
      <c r="B40" s="55" t="s">
        <v>85</v>
      </c>
      <c r="C40" s="4"/>
      <c r="D40" s="4"/>
      <c r="E40" s="47"/>
      <c r="F40" s="4"/>
      <c r="G40" s="4"/>
      <c r="H40" s="47"/>
      <c r="I40" s="48"/>
      <c r="J40" s="48"/>
      <c r="K40" s="47"/>
      <c r="L40" s="48"/>
      <c r="M40" s="48"/>
      <c r="N40" s="48"/>
      <c r="O40" s="47"/>
      <c r="P40" s="63"/>
      <c r="Q40" s="63"/>
      <c r="R40" s="63"/>
      <c r="S40" s="63"/>
      <c r="T40" s="63"/>
      <c r="U40" s="63"/>
      <c r="V40" s="29"/>
    </row>
    <row r="41" spans="1:22">
      <c r="A41" s="54"/>
      <c r="B41" s="110" t="s">
        <v>181</v>
      </c>
      <c r="C41" s="4"/>
      <c r="D41" s="4"/>
      <c r="E41" s="47"/>
      <c r="F41" s="4"/>
      <c r="G41" s="4"/>
      <c r="H41" s="47"/>
      <c r="I41" s="48"/>
      <c r="J41" s="48"/>
      <c r="K41" s="47">
        <v>300</v>
      </c>
      <c r="L41" s="48" t="s">
        <v>46</v>
      </c>
      <c r="M41" s="48" t="s">
        <v>27</v>
      </c>
      <c r="N41" s="48" t="s">
        <v>28</v>
      </c>
      <c r="O41" s="47">
        <v>100000</v>
      </c>
      <c r="P41" s="63"/>
      <c r="Q41" s="63"/>
      <c r="R41" s="63"/>
      <c r="S41" s="63"/>
      <c r="T41" s="63">
        <f>O41*K41</f>
        <v>30000000</v>
      </c>
      <c r="U41" s="63">
        <f>T41</f>
        <v>30000000</v>
      </c>
      <c r="V41" s="29"/>
    </row>
    <row r="42" spans="1:22">
      <c r="A42" s="54"/>
      <c r="B42" s="288"/>
      <c r="C42" s="4"/>
      <c r="D42" s="4"/>
      <c r="E42" s="4"/>
      <c r="F42" s="52"/>
      <c r="G42" s="52"/>
      <c r="H42" s="47"/>
      <c r="I42" s="48"/>
      <c r="J42" s="64"/>
      <c r="K42" s="47"/>
      <c r="L42" s="48"/>
      <c r="M42" s="64"/>
      <c r="N42" s="48"/>
      <c r="O42" s="47"/>
      <c r="P42" s="63"/>
      <c r="Q42" s="63"/>
      <c r="R42" s="63"/>
      <c r="S42" s="63"/>
      <c r="T42" s="63"/>
      <c r="U42" s="63"/>
      <c r="V42" s="29"/>
    </row>
    <row r="43" spans="1:22" ht="13.8">
      <c r="A43" s="66" t="s">
        <v>55</v>
      </c>
      <c r="B43" s="113" t="s">
        <v>197</v>
      </c>
      <c r="C43" s="7"/>
      <c r="D43" s="7"/>
      <c r="E43" s="7"/>
      <c r="F43" s="7"/>
      <c r="G43" s="7"/>
      <c r="H43" s="74"/>
      <c r="I43" s="74"/>
      <c r="J43" s="74"/>
      <c r="K43" s="7"/>
      <c r="L43" s="92"/>
      <c r="M43" s="92"/>
      <c r="N43" s="92"/>
      <c r="O43" s="7"/>
      <c r="P43" s="63"/>
      <c r="Q43" s="63"/>
      <c r="R43" s="63"/>
      <c r="S43" s="63"/>
      <c r="T43" s="63"/>
      <c r="U43" s="63"/>
      <c r="V43" s="29"/>
    </row>
    <row r="44" spans="1:22">
      <c r="A44" s="54"/>
      <c r="B44" s="55" t="s">
        <v>42</v>
      </c>
      <c r="C44" s="4"/>
      <c r="D44" s="4"/>
      <c r="E44" s="47"/>
      <c r="F44" s="4"/>
      <c r="G44" s="4"/>
      <c r="H44" s="47"/>
      <c r="I44" s="48"/>
      <c r="J44" s="48"/>
      <c r="K44" s="47"/>
      <c r="L44" s="48"/>
      <c r="M44" s="48"/>
      <c r="N44" s="48"/>
      <c r="O44" s="57"/>
      <c r="P44" s="63"/>
      <c r="Q44" s="63"/>
      <c r="R44" s="63"/>
      <c r="S44" s="63"/>
      <c r="T44" s="63"/>
      <c r="U44" s="63"/>
      <c r="V44" s="29"/>
    </row>
    <row r="45" spans="1:22">
      <c r="A45" s="54"/>
      <c r="B45" s="43" t="s">
        <v>43</v>
      </c>
      <c r="C45" s="4"/>
      <c r="D45" s="4"/>
      <c r="E45" s="47"/>
      <c r="F45" s="4"/>
      <c r="G45" s="4"/>
      <c r="H45" s="47"/>
      <c r="I45" s="48"/>
      <c r="J45" s="48"/>
      <c r="K45" s="47">
        <v>1</v>
      </c>
      <c r="L45" s="48" t="s">
        <v>26</v>
      </c>
      <c r="M45" s="48" t="s">
        <v>27</v>
      </c>
      <c r="N45" s="48" t="s">
        <v>28</v>
      </c>
      <c r="O45" s="57">
        <v>350000</v>
      </c>
      <c r="P45" s="63">
        <f>O45*K45</f>
        <v>350000</v>
      </c>
      <c r="Q45" s="63"/>
      <c r="R45" s="63"/>
      <c r="S45" s="63"/>
      <c r="T45" s="63"/>
      <c r="U45" s="63">
        <f>P45</f>
        <v>350000</v>
      </c>
      <c r="V45" s="29"/>
    </row>
    <row r="46" spans="1:22" s="338" customFormat="1">
      <c r="A46" s="152"/>
      <c r="B46" s="398"/>
      <c r="C46" s="153"/>
      <c r="D46" s="153"/>
      <c r="E46" s="154"/>
      <c r="F46" s="153"/>
      <c r="G46" s="153"/>
      <c r="H46" s="154"/>
      <c r="I46" s="394"/>
      <c r="J46" s="394"/>
      <c r="K46" s="154"/>
      <c r="L46" s="394"/>
      <c r="M46" s="394"/>
      <c r="N46" s="394"/>
      <c r="O46" s="154"/>
      <c r="P46" s="395"/>
      <c r="Q46" s="396"/>
      <c r="R46" s="396"/>
      <c r="S46" s="397"/>
      <c r="T46" s="397"/>
      <c r="U46" s="393"/>
    </row>
    <row r="47" spans="1:22" ht="15.6">
      <c r="A47" s="54" t="s">
        <v>196</v>
      </c>
      <c r="B47" s="22" t="s">
        <v>408</v>
      </c>
      <c r="C47" s="45"/>
      <c r="D47" s="46"/>
      <c r="E47" s="47"/>
      <c r="F47" s="48"/>
      <c r="G47" s="48"/>
      <c r="H47" s="47"/>
      <c r="I47" s="48"/>
      <c r="J47" s="48"/>
      <c r="K47" s="47"/>
      <c r="L47" s="48"/>
      <c r="M47" s="48"/>
      <c r="N47" s="48"/>
      <c r="O47" s="47"/>
      <c r="P47" s="49"/>
      <c r="Q47" s="49"/>
      <c r="R47" s="49"/>
      <c r="S47" s="49"/>
      <c r="T47" s="49"/>
      <c r="U47" s="49">
        <f t="shared" ref="U47:U52" si="3">SUM(P47:T47)</f>
        <v>0</v>
      </c>
      <c r="V47" s="29">
        <f>SUM(U47:U52)</f>
        <v>15440000</v>
      </c>
    </row>
    <row r="48" spans="1:22">
      <c r="A48" s="54"/>
      <c r="B48" s="55" t="s">
        <v>42</v>
      </c>
      <c r="C48" s="4"/>
      <c r="D48" s="4"/>
      <c r="E48" s="47"/>
      <c r="F48" s="4"/>
      <c r="G48" s="4"/>
      <c r="H48" s="47"/>
      <c r="I48" s="48"/>
      <c r="J48" s="48"/>
      <c r="K48" s="47"/>
      <c r="L48" s="48"/>
      <c r="M48" s="48"/>
      <c r="N48" s="48"/>
      <c r="O48" s="57"/>
      <c r="P48" s="63"/>
      <c r="Q48" s="9"/>
      <c r="R48" s="9"/>
      <c r="S48" s="65"/>
      <c r="T48" s="49"/>
      <c r="U48" s="49">
        <f t="shared" si="3"/>
        <v>0</v>
      </c>
      <c r="V48" s="29"/>
    </row>
    <row r="49" spans="1:23">
      <c r="A49" s="54"/>
      <c r="B49" s="43" t="s">
        <v>43</v>
      </c>
      <c r="C49" s="4"/>
      <c r="D49" s="4"/>
      <c r="E49" s="47"/>
      <c r="F49" s="4"/>
      <c r="G49" s="4"/>
      <c r="H49" s="47"/>
      <c r="I49" s="48"/>
      <c r="J49" s="48"/>
      <c r="K49" s="47">
        <v>1</v>
      </c>
      <c r="L49" s="48" t="s">
        <v>26</v>
      </c>
      <c r="M49" s="48" t="s">
        <v>27</v>
      </c>
      <c r="N49" s="48" t="s">
        <v>28</v>
      </c>
      <c r="O49" s="57">
        <v>340000</v>
      </c>
      <c r="P49" s="63">
        <f>O49*K49</f>
        <v>340000</v>
      </c>
      <c r="Q49" s="9"/>
      <c r="R49" s="9"/>
      <c r="S49" s="65"/>
      <c r="T49" s="49"/>
      <c r="U49" s="49">
        <f t="shared" si="3"/>
        <v>340000</v>
      </c>
      <c r="V49" s="29"/>
    </row>
    <row r="50" spans="1:23" s="73" customFormat="1" ht="13.8">
      <c r="A50" s="66"/>
      <c r="B50" s="91" t="s">
        <v>45</v>
      </c>
      <c r="C50" s="7"/>
      <c r="D50" s="7"/>
      <c r="E50" s="7"/>
      <c r="F50" s="7"/>
      <c r="G50" s="7"/>
      <c r="H50" s="74"/>
      <c r="I50" s="74"/>
      <c r="J50" s="74"/>
      <c r="K50" s="7">
        <v>2</v>
      </c>
      <c r="L50" s="92" t="s">
        <v>46</v>
      </c>
      <c r="M50" s="92" t="s">
        <v>27</v>
      </c>
      <c r="N50" s="92" t="s">
        <v>28</v>
      </c>
      <c r="O50" s="7">
        <v>50000</v>
      </c>
      <c r="P50" s="63">
        <f>O50*K50</f>
        <v>100000</v>
      </c>
      <c r="Q50" s="70"/>
      <c r="R50" s="70"/>
      <c r="S50" s="71"/>
      <c r="T50" s="49"/>
      <c r="U50" s="49">
        <f t="shared" si="3"/>
        <v>100000</v>
      </c>
      <c r="V50" s="109"/>
      <c r="W50" s="108"/>
    </row>
    <row r="51" spans="1:23">
      <c r="A51" s="54"/>
      <c r="B51" s="55" t="s">
        <v>85</v>
      </c>
      <c r="C51" s="4"/>
      <c r="D51" s="4"/>
      <c r="E51" s="47"/>
      <c r="F51" s="4"/>
      <c r="G51" s="4"/>
      <c r="H51" s="47"/>
      <c r="I51" s="48"/>
      <c r="J51" s="48"/>
      <c r="K51" s="47"/>
      <c r="L51" s="48"/>
      <c r="M51" s="48"/>
      <c r="N51" s="48"/>
      <c r="O51" s="47"/>
      <c r="P51" s="53"/>
      <c r="Q51" s="53"/>
      <c r="R51" s="53"/>
      <c r="S51" s="53"/>
      <c r="T51" s="58"/>
      <c r="U51" s="49">
        <f t="shared" si="3"/>
        <v>0</v>
      </c>
      <c r="V51" s="29"/>
    </row>
    <row r="52" spans="1:23">
      <c r="A52" s="54"/>
      <c r="B52" s="110" t="s">
        <v>409</v>
      </c>
      <c r="C52" s="4"/>
      <c r="D52" s="4"/>
      <c r="E52" s="47"/>
      <c r="F52" s="4"/>
      <c r="G52" s="4"/>
      <c r="H52" s="47"/>
      <c r="I52" s="48"/>
      <c r="J52" s="48"/>
      <c r="K52" s="47">
        <v>300</v>
      </c>
      <c r="L52" s="48" t="s">
        <v>46</v>
      </c>
      <c r="M52" s="48" t="s">
        <v>27</v>
      </c>
      <c r="N52" s="48" t="s">
        <v>28</v>
      </c>
      <c r="O52" s="47">
        <v>50000</v>
      </c>
      <c r="P52" s="49"/>
      <c r="Q52" s="49"/>
      <c r="R52" s="49"/>
      <c r="S52" s="49"/>
      <c r="T52" s="49">
        <f>O52*K52</f>
        <v>15000000</v>
      </c>
      <c r="U52" s="49">
        <f t="shared" si="3"/>
        <v>15000000</v>
      </c>
      <c r="V52" s="29"/>
    </row>
    <row r="53" spans="1:23">
      <c r="A53" s="54"/>
      <c r="B53" s="110"/>
      <c r="C53" s="4"/>
      <c r="D53" s="4"/>
      <c r="E53" s="47"/>
      <c r="F53" s="4"/>
      <c r="G53" s="4"/>
      <c r="H53" s="47"/>
      <c r="I53" s="48"/>
      <c r="J53" s="48"/>
      <c r="K53" s="47"/>
      <c r="L53" s="48"/>
      <c r="M53" s="48"/>
      <c r="N53" s="48"/>
      <c r="O53" s="47"/>
      <c r="P53" s="49"/>
      <c r="Q53" s="49"/>
      <c r="R53" s="49"/>
      <c r="S53" s="49"/>
      <c r="T53" s="49"/>
      <c r="U53" s="49"/>
      <c r="V53" s="29"/>
    </row>
    <row r="54" spans="1:23">
      <c r="A54" s="54">
        <v>2</v>
      </c>
      <c r="B54" s="55" t="s">
        <v>59</v>
      </c>
      <c r="C54" s="4"/>
      <c r="D54" s="51"/>
      <c r="E54" s="4"/>
      <c r="F54" s="52"/>
      <c r="G54" s="52"/>
      <c r="H54" s="4"/>
      <c r="I54" s="52"/>
      <c r="J54" s="52"/>
      <c r="K54" s="4"/>
      <c r="L54" s="52"/>
      <c r="M54" s="52"/>
      <c r="N54" s="52"/>
      <c r="O54" s="4"/>
      <c r="P54" s="53"/>
      <c r="Q54" s="53"/>
      <c r="R54" s="53"/>
      <c r="S54" s="53"/>
      <c r="T54" s="53"/>
      <c r="U54" s="58"/>
      <c r="V54" s="41">
        <f>SUM(U57:U85)</f>
        <v>282180000</v>
      </c>
    </row>
    <row r="55" spans="1:23">
      <c r="A55" s="54" t="s">
        <v>195</v>
      </c>
      <c r="B55" s="55" t="s">
        <v>367</v>
      </c>
      <c r="C55" s="4"/>
      <c r="D55" s="51"/>
      <c r="E55" s="4"/>
      <c r="F55" s="52"/>
      <c r="G55" s="52"/>
      <c r="H55" s="4"/>
      <c r="I55" s="52"/>
      <c r="J55" s="52"/>
      <c r="K55" s="4"/>
      <c r="L55" s="52"/>
      <c r="M55" s="52"/>
      <c r="N55" s="52"/>
      <c r="O55" s="4"/>
      <c r="P55" s="53"/>
      <c r="Q55" s="53"/>
      <c r="R55" s="53"/>
      <c r="S55" s="53"/>
      <c r="T55" s="53"/>
      <c r="U55" s="58"/>
      <c r="V55" s="41"/>
    </row>
    <row r="56" spans="1:23">
      <c r="A56" s="54"/>
      <c r="B56" s="55" t="s">
        <v>42</v>
      </c>
      <c r="C56" s="56"/>
      <c r="D56" s="4"/>
      <c r="E56" s="47"/>
      <c r="F56" s="4"/>
      <c r="G56" s="4"/>
      <c r="H56" s="47"/>
      <c r="I56" s="48"/>
      <c r="J56" s="48"/>
      <c r="K56" s="47"/>
      <c r="L56" s="48"/>
      <c r="M56" s="48"/>
      <c r="N56" s="48"/>
      <c r="O56" s="57"/>
      <c r="P56" s="49"/>
      <c r="Q56" s="49"/>
      <c r="R56" s="49"/>
      <c r="S56" s="58"/>
      <c r="T56" s="58"/>
      <c r="U56" s="49"/>
      <c r="V56" s="41"/>
    </row>
    <row r="57" spans="1:23">
      <c r="A57" s="54"/>
      <c r="B57" s="43" t="s">
        <v>32</v>
      </c>
      <c r="C57" s="4"/>
      <c r="D57" s="4"/>
      <c r="E57" s="47"/>
      <c r="F57" s="4"/>
      <c r="G57" s="4"/>
      <c r="H57" s="47"/>
      <c r="I57" s="48"/>
      <c r="J57" s="48"/>
      <c r="K57" s="47">
        <v>1</v>
      </c>
      <c r="L57" s="48" t="s">
        <v>26</v>
      </c>
      <c r="M57" s="48" t="s">
        <v>27</v>
      </c>
      <c r="N57" s="48" t="s">
        <v>28</v>
      </c>
      <c r="O57" s="47">
        <v>200000</v>
      </c>
      <c r="P57" s="49">
        <f>O57*K57</f>
        <v>200000</v>
      </c>
      <c r="Q57" s="49"/>
      <c r="R57" s="49"/>
      <c r="S57" s="58"/>
      <c r="T57" s="58"/>
      <c r="U57" s="49">
        <f>SUM(P57:S57)</f>
        <v>200000</v>
      </c>
      <c r="V57" s="41"/>
    </row>
    <row r="58" spans="1:23">
      <c r="A58" s="54"/>
      <c r="B58" s="43" t="s">
        <v>44</v>
      </c>
      <c r="C58" s="4"/>
      <c r="D58" s="4"/>
      <c r="E58" s="47"/>
      <c r="F58" s="4"/>
      <c r="G58" s="4"/>
      <c r="H58" s="47"/>
      <c r="I58" s="48"/>
      <c r="J58" s="48"/>
      <c r="K58" s="47">
        <v>1</v>
      </c>
      <c r="L58" s="48" t="s">
        <v>26</v>
      </c>
      <c r="M58" s="48" t="s">
        <v>27</v>
      </c>
      <c r="N58" s="48" t="s">
        <v>28</v>
      </c>
      <c r="O58" s="47">
        <v>100000</v>
      </c>
      <c r="P58" s="49">
        <f>O58</f>
        <v>100000</v>
      </c>
      <c r="Q58" s="49"/>
      <c r="R58" s="49"/>
      <c r="S58" s="58"/>
      <c r="T58" s="58"/>
      <c r="U58" s="49">
        <f>P58</f>
        <v>100000</v>
      </c>
      <c r="V58" s="41"/>
    </row>
    <row r="59" spans="1:23">
      <c r="A59" s="54"/>
      <c r="B59" s="55" t="s">
        <v>60</v>
      </c>
      <c r="C59" s="4"/>
      <c r="D59" s="4"/>
      <c r="E59" s="47"/>
      <c r="F59" s="4"/>
      <c r="G59" s="4"/>
      <c r="H59" s="59"/>
      <c r="I59" s="60"/>
      <c r="J59" s="61"/>
      <c r="K59" s="59"/>
      <c r="L59" s="60"/>
      <c r="M59" s="61"/>
      <c r="N59" s="60"/>
      <c r="O59" s="62"/>
      <c r="P59" s="63"/>
      <c r="Q59" s="49"/>
      <c r="R59" s="49"/>
      <c r="S59" s="58"/>
      <c r="T59" s="58"/>
      <c r="U59" s="49">
        <f>SUM(P59:S59)</f>
        <v>0</v>
      </c>
      <c r="V59" s="41"/>
    </row>
    <row r="60" spans="1:23">
      <c r="A60" s="54"/>
      <c r="B60" s="43" t="s">
        <v>61</v>
      </c>
      <c r="C60" s="4"/>
      <c r="D60" s="4"/>
      <c r="E60" s="4"/>
      <c r="F60" s="52"/>
      <c r="G60" s="52"/>
      <c r="H60" s="47"/>
      <c r="I60" s="48"/>
      <c r="J60" s="64"/>
      <c r="K60" s="47">
        <v>6</v>
      </c>
      <c r="L60" s="48" t="s">
        <v>31</v>
      </c>
      <c r="M60" s="48" t="s">
        <v>27</v>
      </c>
      <c r="N60" s="48" t="s">
        <v>28</v>
      </c>
      <c r="O60" s="47">
        <v>6000000</v>
      </c>
      <c r="P60" s="63"/>
      <c r="Q60" s="65"/>
      <c r="R60" s="65">
        <f>O60*K60</f>
        <v>36000000</v>
      </c>
      <c r="S60" s="65"/>
      <c r="T60" s="65"/>
      <c r="U60" s="49">
        <f>SUM(P60:S60)</f>
        <v>36000000</v>
      </c>
      <c r="V60" s="41"/>
    </row>
    <row r="61" spans="1:23">
      <c r="A61" s="54"/>
      <c r="B61" s="43" t="s">
        <v>62</v>
      </c>
      <c r="C61" s="56"/>
      <c r="D61" s="4"/>
      <c r="E61" s="47"/>
      <c r="F61" s="4"/>
      <c r="G61" s="4"/>
      <c r="H61" s="47"/>
      <c r="I61" s="48"/>
      <c r="J61" s="48"/>
      <c r="K61" s="47">
        <v>2</v>
      </c>
      <c r="L61" s="48" t="s">
        <v>31</v>
      </c>
      <c r="M61" s="48" t="s">
        <v>27</v>
      </c>
      <c r="N61" s="48" t="s">
        <v>28</v>
      </c>
      <c r="O61" s="47">
        <v>900000</v>
      </c>
      <c r="P61" s="63"/>
      <c r="Q61" s="49"/>
      <c r="R61" s="49">
        <f>O61*K61</f>
        <v>1800000</v>
      </c>
      <c r="S61" s="58"/>
      <c r="T61" s="58"/>
      <c r="U61" s="49">
        <f>SUM(P61:S61)</f>
        <v>1800000</v>
      </c>
      <c r="V61" s="41"/>
    </row>
    <row r="62" spans="1:23">
      <c r="A62" s="54"/>
      <c r="B62" s="4" t="s">
        <v>369</v>
      </c>
      <c r="C62" s="56"/>
      <c r="D62" s="4"/>
      <c r="E62" s="47"/>
      <c r="F62" s="4"/>
      <c r="G62" s="4"/>
      <c r="H62" s="47">
        <v>3</v>
      </c>
      <c r="I62" s="48" t="s">
        <v>234</v>
      </c>
      <c r="J62" s="48" t="s">
        <v>27</v>
      </c>
      <c r="K62" s="47">
        <v>6</v>
      </c>
      <c r="L62" s="48" t="s">
        <v>31</v>
      </c>
      <c r="M62" s="48" t="s">
        <v>27</v>
      </c>
      <c r="N62" s="48" t="s">
        <v>28</v>
      </c>
      <c r="O62" s="47">
        <v>2500000</v>
      </c>
      <c r="P62" s="63"/>
      <c r="Q62" s="49"/>
      <c r="R62" s="49">
        <f>O62*K62*H62</f>
        <v>45000000</v>
      </c>
      <c r="S62" s="58"/>
      <c r="T62" s="58"/>
      <c r="U62" s="49">
        <f>SUM(P62:S62)</f>
        <v>45000000</v>
      </c>
      <c r="V62" s="41"/>
    </row>
    <row r="63" spans="1:23">
      <c r="A63" s="54"/>
      <c r="B63" s="325" t="s">
        <v>64</v>
      </c>
      <c r="C63" s="4"/>
      <c r="D63" s="4"/>
      <c r="E63" s="47"/>
      <c r="F63" s="4"/>
      <c r="G63" s="4"/>
      <c r="H63" s="47"/>
      <c r="I63" s="48"/>
      <c r="J63" s="48"/>
      <c r="K63" s="47"/>
      <c r="L63" s="48"/>
      <c r="M63" s="48"/>
      <c r="N63" s="48"/>
      <c r="O63" s="57"/>
      <c r="P63" s="63"/>
      <c r="Q63" s="49"/>
      <c r="R63" s="49"/>
      <c r="S63" s="58"/>
      <c r="T63" s="58"/>
      <c r="U63" s="49">
        <f>SUM(P63:S63)</f>
        <v>0</v>
      </c>
      <c r="V63" s="41"/>
    </row>
    <row r="64" spans="1:23">
      <c r="A64" s="54"/>
      <c r="B64" s="43" t="s">
        <v>65</v>
      </c>
      <c r="C64" s="4"/>
      <c r="D64" s="4"/>
      <c r="E64" s="47"/>
      <c r="F64" s="4"/>
      <c r="G64" s="4"/>
      <c r="H64" s="47">
        <v>1</v>
      </c>
      <c r="I64" s="48" t="s">
        <v>30</v>
      </c>
      <c r="J64" s="48" t="s">
        <v>27</v>
      </c>
      <c r="K64" s="47">
        <v>6</v>
      </c>
      <c r="L64" s="48" t="s">
        <v>31</v>
      </c>
      <c r="M64" s="48" t="s">
        <v>27</v>
      </c>
      <c r="N64" s="48" t="s">
        <v>28</v>
      </c>
      <c r="O64" s="47">
        <v>300000</v>
      </c>
      <c r="P64" s="63"/>
      <c r="Q64" s="49"/>
      <c r="R64" s="49"/>
      <c r="S64" s="49"/>
      <c r="T64" s="49">
        <f>O64*K64*H64</f>
        <v>1800000</v>
      </c>
      <c r="U64" s="49">
        <f>T64</f>
        <v>1800000</v>
      </c>
      <c r="V64" s="41"/>
    </row>
    <row r="65" spans="1:22">
      <c r="A65" s="54"/>
      <c r="B65" s="55" t="s">
        <v>51</v>
      </c>
      <c r="C65" s="4"/>
      <c r="D65" s="4"/>
      <c r="E65" s="47"/>
      <c r="F65" s="4"/>
      <c r="G65" s="4"/>
      <c r="H65" s="47"/>
      <c r="I65" s="48"/>
      <c r="J65" s="48"/>
      <c r="K65" s="47"/>
      <c r="L65" s="48"/>
      <c r="M65" s="48"/>
      <c r="N65" s="48"/>
      <c r="O65" s="57"/>
      <c r="P65" s="63"/>
      <c r="Q65" s="49"/>
      <c r="R65" s="49"/>
      <c r="S65" s="58"/>
      <c r="T65" s="58"/>
      <c r="U65" s="49">
        <f>SUM(P65:S65)</f>
        <v>0</v>
      </c>
      <c r="V65" s="41"/>
    </row>
    <row r="66" spans="1:22">
      <c r="A66" s="54"/>
      <c r="B66" s="43" t="s">
        <v>370</v>
      </c>
      <c r="C66" s="4"/>
      <c r="D66" s="4"/>
      <c r="E66" s="47"/>
      <c r="F66" s="4"/>
      <c r="G66" s="4"/>
      <c r="H66" s="47">
        <v>5</v>
      </c>
      <c r="I66" s="48" t="s">
        <v>30</v>
      </c>
      <c r="J66" s="48" t="s">
        <v>27</v>
      </c>
      <c r="K66" s="47">
        <v>1</v>
      </c>
      <c r="L66" s="48" t="s">
        <v>26</v>
      </c>
      <c r="M66" s="48" t="s">
        <v>27</v>
      </c>
      <c r="N66" s="48" t="s">
        <v>28</v>
      </c>
      <c r="O66" s="47">
        <v>7000000</v>
      </c>
      <c r="P66" s="63"/>
      <c r="Q66" s="49">
        <f>O66*K66*H66</f>
        <v>35000000</v>
      </c>
      <c r="R66" s="49"/>
      <c r="S66" s="58"/>
      <c r="T66" s="58"/>
      <c r="U66" s="49">
        <f>SUM(P66:S66)</f>
        <v>35000000</v>
      </c>
      <c r="V66" s="41"/>
    </row>
    <row r="67" spans="1:22">
      <c r="A67" s="54"/>
      <c r="B67" s="43" t="s">
        <v>371</v>
      </c>
      <c r="C67" s="4"/>
      <c r="D67" s="4"/>
      <c r="E67" s="47"/>
      <c r="F67" s="4"/>
      <c r="G67" s="4"/>
      <c r="H67" s="47">
        <v>5</v>
      </c>
      <c r="I67" s="48" t="s">
        <v>30</v>
      </c>
      <c r="J67" s="48" t="s">
        <v>27</v>
      </c>
      <c r="K67" s="47">
        <v>1</v>
      </c>
      <c r="L67" s="48" t="s">
        <v>26</v>
      </c>
      <c r="M67" s="48" t="s">
        <v>27</v>
      </c>
      <c r="N67" s="48" t="s">
        <v>28</v>
      </c>
      <c r="O67" s="47">
        <f>(174000+130000)*2</f>
        <v>608000</v>
      </c>
      <c r="P67" s="63"/>
      <c r="Q67" s="49">
        <f>O67*H67</f>
        <v>3040000</v>
      </c>
      <c r="R67" s="49"/>
      <c r="S67" s="58"/>
      <c r="T67" s="58"/>
      <c r="U67" s="49">
        <f>SUM(P67:S67)</f>
        <v>3040000</v>
      </c>
      <c r="V67" s="41"/>
    </row>
    <row r="68" spans="1:22" s="326" customFormat="1" ht="13.8">
      <c r="A68" s="66"/>
      <c r="B68" s="43" t="s">
        <v>53</v>
      </c>
      <c r="C68" s="4"/>
      <c r="D68" s="4"/>
      <c r="E68" s="47"/>
      <c r="F68" s="4"/>
      <c r="G68" s="4"/>
      <c r="H68" s="47">
        <v>5</v>
      </c>
      <c r="I68" s="48" t="s">
        <v>30</v>
      </c>
      <c r="J68" s="48" t="s">
        <v>27</v>
      </c>
      <c r="K68" s="47">
        <v>10</v>
      </c>
      <c r="L68" s="48" t="s">
        <v>31</v>
      </c>
      <c r="M68" s="48" t="s">
        <v>27</v>
      </c>
      <c r="N68" s="48" t="s">
        <v>28</v>
      </c>
      <c r="O68" s="47">
        <v>480000</v>
      </c>
      <c r="P68" s="70"/>
      <c r="Q68" s="49">
        <f>O68*K68*H68</f>
        <v>24000000</v>
      </c>
      <c r="R68" s="71"/>
      <c r="S68" s="72"/>
      <c r="T68" s="72"/>
      <c r="U68" s="49">
        <f>SUM(P68:S68)</f>
        <v>24000000</v>
      </c>
      <c r="V68" s="94"/>
    </row>
    <row r="69" spans="1:22" s="326" customFormat="1" ht="13.8">
      <c r="A69" s="66"/>
      <c r="B69" s="43" t="s">
        <v>173</v>
      </c>
      <c r="C69" s="4"/>
      <c r="D69" s="4"/>
      <c r="E69" s="47"/>
      <c r="F69" s="4"/>
      <c r="G69" s="4"/>
      <c r="H69" s="47">
        <v>5</v>
      </c>
      <c r="I69" s="48" t="s">
        <v>30</v>
      </c>
      <c r="J69" s="48" t="s">
        <v>27</v>
      </c>
      <c r="K69" s="47">
        <v>9</v>
      </c>
      <c r="L69" s="48" t="s">
        <v>31</v>
      </c>
      <c r="M69" s="48" t="s">
        <v>27</v>
      </c>
      <c r="N69" s="48" t="s">
        <v>28</v>
      </c>
      <c r="O69" s="47">
        <v>450000</v>
      </c>
      <c r="P69" s="70"/>
      <c r="Q69" s="49">
        <f>O69*K69*H69</f>
        <v>20250000</v>
      </c>
      <c r="R69" s="71"/>
      <c r="S69" s="72"/>
      <c r="T69" s="72"/>
      <c r="U69" s="49">
        <f>SUM(P69:S69)</f>
        <v>20250000</v>
      </c>
      <c r="V69" s="94"/>
    </row>
    <row r="70" spans="1:22">
      <c r="A70" s="54"/>
      <c r="B70" s="43"/>
      <c r="C70" s="4"/>
      <c r="D70" s="4"/>
      <c r="E70" s="47"/>
      <c r="F70" s="4"/>
      <c r="G70" s="4"/>
      <c r="H70" s="47"/>
      <c r="I70" s="48"/>
      <c r="J70" s="48"/>
      <c r="K70" s="47"/>
      <c r="L70" s="48"/>
      <c r="M70" s="48"/>
      <c r="N70" s="48"/>
      <c r="O70" s="47"/>
      <c r="P70" s="63"/>
      <c r="Q70" s="49"/>
      <c r="R70" s="63"/>
      <c r="S70" s="65"/>
      <c r="T70" s="65"/>
      <c r="U70" s="49"/>
      <c r="V70" s="41"/>
    </row>
    <row r="71" spans="1:22">
      <c r="A71" s="54" t="s">
        <v>196</v>
      </c>
      <c r="B71" s="55" t="s">
        <v>368</v>
      </c>
      <c r="C71" s="4"/>
      <c r="D71" s="51"/>
      <c r="E71" s="4"/>
      <c r="F71" s="52"/>
      <c r="G71" s="52"/>
      <c r="H71" s="4"/>
      <c r="I71" s="52"/>
      <c r="J71" s="52"/>
      <c r="K71" s="4"/>
      <c r="L71" s="52"/>
      <c r="M71" s="52"/>
      <c r="N71" s="52"/>
      <c r="O71" s="4"/>
      <c r="P71" s="53"/>
      <c r="Q71" s="53"/>
      <c r="R71" s="53"/>
      <c r="S71" s="53"/>
      <c r="T71" s="53"/>
      <c r="U71" s="58"/>
      <c r="V71" s="41"/>
    </row>
    <row r="72" spans="1:22">
      <c r="A72" s="54"/>
      <c r="B72" s="55" t="s">
        <v>42</v>
      </c>
      <c r="C72" s="56"/>
      <c r="D72" s="4"/>
      <c r="E72" s="47"/>
      <c r="F72" s="4"/>
      <c r="G72" s="4"/>
      <c r="H72" s="47"/>
      <c r="I72" s="48"/>
      <c r="J72" s="48"/>
      <c r="K72" s="47"/>
      <c r="L72" s="48"/>
      <c r="M72" s="48"/>
      <c r="N72" s="48"/>
      <c r="O72" s="57"/>
      <c r="P72" s="49"/>
      <c r="Q72" s="49"/>
      <c r="R72" s="49"/>
      <c r="S72" s="58"/>
      <c r="T72" s="58"/>
      <c r="U72" s="49"/>
      <c r="V72" s="41"/>
    </row>
    <row r="73" spans="1:22">
      <c r="A73" s="54"/>
      <c r="B73" s="43" t="s">
        <v>32</v>
      </c>
      <c r="C73" s="4"/>
      <c r="D73" s="4"/>
      <c r="E73" s="47"/>
      <c r="F73" s="4"/>
      <c r="G73" s="4"/>
      <c r="H73" s="47"/>
      <c r="I73" s="48"/>
      <c r="J73" s="48"/>
      <c r="K73" s="47">
        <v>1</v>
      </c>
      <c r="L73" s="48" t="s">
        <v>26</v>
      </c>
      <c r="M73" s="48" t="s">
        <v>27</v>
      </c>
      <c r="N73" s="48" t="s">
        <v>28</v>
      </c>
      <c r="O73" s="47">
        <v>200000</v>
      </c>
      <c r="P73" s="49">
        <f>O73*K73</f>
        <v>200000</v>
      </c>
      <c r="Q73" s="49"/>
      <c r="R73" s="49"/>
      <c r="S73" s="58"/>
      <c r="T73" s="58"/>
      <c r="U73" s="49">
        <f>SUM(P73:S73)</f>
        <v>200000</v>
      </c>
      <c r="V73" s="41"/>
    </row>
    <row r="74" spans="1:22">
      <c r="A74" s="54"/>
      <c r="B74" s="43" t="s">
        <v>44</v>
      </c>
      <c r="C74" s="4"/>
      <c r="D74" s="4"/>
      <c r="E74" s="47"/>
      <c r="F74" s="4"/>
      <c r="G74" s="4"/>
      <c r="H74" s="47"/>
      <c r="I74" s="48"/>
      <c r="J74" s="48"/>
      <c r="K74" s="47">
        <v>1</v>
      </c>
      <c r="L74" s="48" t="s">
        <v>26</v>
      </c>
      <c r="M74" s="48" t="s">
        <v>27</v>
      </c>
      <c r="N74" s="48" t="s">
        <v>28</v>
      </c>
      <c r="O74" s="47">
        <v>100000</v>
      </c>
      <c r="P74" s="49">
        <f>O74</f>
        <v>100000</v>
      </c>
      <c r="Q74" s="49"/>
      <c r="R74" s="49"/>
      <c r="S74" s="58"/>
      <c r="T74" s="58"/>
      <c r="U74" s="49">
        <f>P74</f>
        <v>100000</v>
      </c>
      <c r="V74" s="41"/>
    </row>
    <row r="75" spans="1:22">
      <c r="A75" s="54"/>
      <c r="B75" s="55" t="s">
        <v>60</v>
      </c>
      <c r="C75" s="4"/>
      <c r="D75" s="4"/>
      <c r="E75" s="47"/>
      <c r="F75" s="4"/>
      <c r="G75" s="4"/>
      <c r="H75" s="59"/>
      <c r="I75" s="60"/>
      <c r="J75" s="61"/>
      <c r="K75" s="59"/>
      <c r="L75" s="60"/>
      <c r="M75" s="61"/>
      <c r="N75" s="60"/>
      <c r="O75" s="62"/>
      <c r="P75" s="63"/>
      <c r="Q75" s="49"/>
      <c r="R75" s="49"/>
      <c r="S75" s="58"/>
      <c r="T75" s="58"/>
      <c r="U75" s="49">
        <f>SUM(P75:S75)</f>
        <v>0</v>
      </c>
      <c r="V75" s="41"/>
    </row>
    <row r="76" spans="1:22">
      <c r="A76" s="54"/>
      <c r="B76" s="43" t="s">
        <v>61</v>
      </c>
      <c r="C76" s="4"/>
      <c r="D76" s="4"/>
      <c r="E76" s="4"/>
      <c r="F76" s="52"/>
      <c r="G76" s="52"/>
      <c r="H76" s="47"/>
      <c r="I76" s="48"/>
      <c r="J76" s="64"/>
      <c r="K76" s="47">
        <v>5</v>
      </c>
      <c r="L76" s="48" t="s">
        <v>31</v>
      </c>
      <c r="M76" s="48" t="s">
        <v>27</v>
      </c>
      <c r="N76" s="48" t="s">
        <v>28</v>
      </c>
      <c r="O76" s="47">
        <v>1500000</v>
      </c>
      <c r="P76" s="63"/>
      <c r="Q76" s="65"/>
      <c r="R76" s="65">
        <f>O76*K76</f>
        <v>7500000</v>
      </c>
      <c r="S76" s="65"/>
      <c r="T76" s="65"/>
      <c r="U76" s="49">
        <f>SUM(P76:S76)</f>
        <v>7500000</v>
      </c>
      <c r="V76" s="41"/>
    </row>
    <row r="77" spans="1:22">
      <c r="A77" s="54"/>
      <c r="B77" s="43" t="s">
        <v>62</v>
      </c>
      <c r="C77" s="56"/>
      <c r="D77" s="4"/>
      <c r="E77" s="47"/>
      <c r="F77" s="4"/>
      <c r="G77" s="4"/>
      <c r="H77" s="47"/>
      <c r="I77" s="48"/>
      <c r="J77" s="48"/>
      <c r="K77" s="47">
        <v>2</v>
      </c>
      <c r="L77" s="48" t="s">
        <v>31</v>
      </c>
      <c r="M77" s="48" t="s">
        <v>27</v>
      </c>
      <c r="N77" s="48" t="s">
        <v>28</v>
      </c>
      <c r="O77" s="47">
        <v>820000</v>
      </c>
      <c r="P77" s="63"/>
      <c r="Q77" s="49"/>
      <c r="R77" s="49">
        <f>O77*K77</f>
        <v>1640000</v>
      </c>
      <c r="S77" s="58"/>
      <c r="T77" s="58"/>
      <c r="U77" s="49">
        <f>SUM(P77:S77)</f>
        <v>1640000</v>
      </c>
      <c r="V77" s="41"/>
    </row>
    <row r="78" spans="1:22">
      <c r="A78" s="54"/>
      <c r="B78" s="4" t="s">
        <v>369</v>
      </c>
      <c r="C78" s="56"/>
      <c r="D78" s="4"/>
      <c r="E78" s="47"/>
      <c r="F78" s="4"/>
      <c r="G78" s="4"/>
      <c r="H78" s="47">
        <v>3</v>
      </c>
      <c r="I78" s="48" t="s">
        <v>234</v>
      </c>
      <c r="J78" s="48" t="s">
        <v>27</v>
      </c>
      <c r="K78" s="47">
        <v>5</v>
      </c>
      <c r="L78" s="48" t="s">
        <v>31</v>
      </c>
      <c r="M78" s="48" t="s">
        <v>27</v>
      </c>
      <c r="N78" s="48" t="s">
        <v>28</v>
      </c>
      <c r="O78" s="47">
        <v>2500000</v>
      </c>
      <c r="P78" s="63"/>
      <c r="Q78" s="49"/>
      <c r="R78" s="49">
        <f>O78*K78*H78</f>
        <v>37500000</v>
      </c>
      <c r="S78" s="58"/>
      <c r="T78" s="58"/>
      <c r="U78" s="49">
        <f>SUM(P78:S78)</f>
        <v>37500000</v>
      </c>
      <c r="V78" s="41"/>
    </row>
    <row r="79" spans="1:22">
      <c r="A79" s="54"/>
      <c r="B79" s="325" t="s">
        <v>64</v>
      </c>
      <c r="C79" s="4"/>
      <c r="D79" s="4"/>
      <c r="E79" s="47"/>
      <c r="F79" s="4"/>
      <c r="G79" s="4"/>
      <c r="H79" s="47"/>
      <c r="I79" s="48"/>
      <c r="J79" s="48"/>
      <c r="K79" s="47"/>
      <c r="L79" s="48"/>
      <c r="M79" s="48"/>
      <c r="N79" s="48"/>
      <c r="O79" s="57"/>
      <c r="P79" s="63"/>
      <c r="Q79" s="49"/>
      <c r="R79" s="49"/>
      <c r="S79" s="58"/>
      <c r="T79" s="58"/>
      <c r="U79" s="49">
        <f>SUM(P79:S79)</f>
        <v>0</v>
      </c>
      <c r="V79" s="41"/>
    </row>
    <row r="80" spans="1:22">
      <c r="A80" s="54"/>
      <c r="B80" s="43" t="s">
        <v>65</v>
      </c>
      <c r="C80" s="4"/>
      <c r="D80" s="4"/>
      <c r="E80" s="47"/>
      <c r="F80" s="4"/>
      <c r="G80" s="4"/>
      <c r="H80" s="47">
        <v>1</v>
      </c>
      <c r="I80" s="48" t="s">
        <v>30</v>
      </c>
      <c r="J80" s="48" t="s">
        <v>27</v>
      </c>
      <c r="K80" s="47">
        <v>5</v>
      </c>
      <c r="L80" s="48" t="s">
        <v>31</v>
      </c>
      <c r="M80" s="48" t="s">
        <v>27</v>
      </c>
      <c r="N80" s="48" t="s">
        <v>28</v>
      </c>
      <c r="O80" s="47">
        <v>300000</v>
      </c>
      <c r="P80" s="63"/>
      <c r="Q80" s="49"/>
      <c r="R80" s="49"/>
      <c r="S80" s="49"/>
      <c r="T80" s="49">
        <f>O80*K80*H80</f>
        <v>1500000</v>
      </c>
      <c r="U80" s="49">
        <f>T80</f>
        <v>1500000</v>
      </c>
      <c r="V80" s="41"/>
    </row>
    <row r="81" spans="1:24">
      <c r="A81" s="54"/>
      <c r="B81" s="55" t="s">
        <v>51</v>
      </c>
      <c r="C81" s="4"/>
      <c r="D81" s="4"/>
      <c r="E81" s="47"/>
      <c r="F81" s="4"/>
      <c r="G81" s="4"/>
      <c r="H81" s="47"/>
      <c r="I81" s="48"/>
      <c r="J81" s="48"/>
      <c r="K81" s="47"/>
      <c r="L81" s="48"/>
      <c r="M81" s="48"/>
      <c r="N81" s="48"/>
      <c r="O81" s="57"/>
      <c r="P81" s="63"/>
      <c r="Q81" s="49"/>
      <c r="R81" s="49"/>
      <c r="S81" s="58"/>
      <c r="T81" s="58"/>
      <c r="U81" s="49">
        <f>SUM(P81:S81)</f>
        <v>0</v>
      </c>
      <c r="V81" s="41"/>
    </row>
    <row r="82" spans="1:24">
      <c r="A82" s="54"/>
      <c r="B82" s="43" t="s">
        <v>372</v>
      </c>
      <c r="C82" s="4"/>
      <c r="D82" s="4"/>
      <c r="E82" s="47"/>
      <c r="F82" s="4"/>
      <c r="G82" s="4"/>
      <c r="H82" s="47">
        <v>5</v>
      </c>
      <c r="I82" s="48" t="s">
        <v>30</v>
      </c>
      <c r="J82" s="48" t="s">
        <v>27</v>
      </c>
      <c r="K82" s="47">
        <v>1</v>
      </c>
      <c r="L82" s="48" t="s">
        <v>26</v>
      </c>
      <c r="M82" s="48" t="s">
        <v>27</v>
      </c>
      <c r="N82" s="48" t="s">
        <v>28</v>
      </c>
      <c r="O82" s="47">
        <v>6000000</v>
      </c>
      <c r="P82" s="63"/>
      <c r="Q82" s="49">
        <f>O82*K82*H82</f>
        <v>30000000</v>
      </c>
      <c r="R82" s="49"/>
      <c r="S82" s="58"/>
      <c r="T82" s="58"/>
      <c r="U82" s="49">
        <f>SUM(P82:S82)</f>
        <v>30000000</v>
      </c>
      <c r="V82" s="41"/>
    </row>
    <row r="83" spans="1:24">
      <c r="A83" s="54"/>
      <c r="B83" s="43" t="s">
        <v>389</v>
      </c>
      <c r="C83" s="4"/>
      <c r="D83" s="4"/>
      <c r="E83" s="47"/>
      <c r="F83" s="4"/>
      <c r="G83" s="4"/>
      <c r="H83" s="47">
        <v>5</v>
      </c>
      <c r="I83" s="48" t="s">
        <v>30</v>
      </c>
      <c r="J83" s="48" t="s">
        <v>27</v>
      </c>
      <c r="K83" s="47">
        <v>1</v>
      </c>
      <c r="L83" s="48" t="s">
        <v>26</v>
      </c>
      <c r="M83" s="48" t="s">
        <v>27</v>
      </c>
      <c r="N83" s="48" t="s">
        <v>28</v>
      </c>
      <c r="O83" s="47">
        <f>(174000+171000)*2</f>
        <v>690000</v>
      </c>
      <c r="P83" s="63"/>
      <c r="Q83" s="49">
        <f>O83*H83</f>
        <v>3450000</v>
      </c>
      <c r="R83" s="49"/>
      <c r="S83" s="58"/>
      <c r="T83" s="58"/>
      <c r="U83" s="49">
        <f>SUM(P83:S83)</f>
        <v>3450000</v>
      </c>
      <c r="V83" s="41"/>
    </row>
    <row r="84" spans="1:24" s="326" customFormat="1" ht="13.8">
      <c r="A84" s="66"/>
      <c r="B84" s="43" t="s">
        <v>53</v>
      </c>
      <c r="C84" s="4"/>
      <c r="D84" s="4"/>
      <c r="E84" s="47"/>
      <c r="F84" s="4"/>
      <c r="G84" s="4"/>
      <c r="H84" s="47">
        <v>5</v>
      </c>
      <c r="I84" s="48" t="s">
        <v>30</v>
      </c>
      <c r="J84" s="48" t="s">
        <v>27</v>
      </c>
      <c r="K84" s="47">
        <v>9</v>
      </c>
      <c r="L84" s="48" t="s">
        <v>31</v>
      </c>
      <c r="M84" s="48" t="s">
        <v>27</v>
      </c>
      <c r="N84" s="48" t="s">
        <v>28</v>
      </c>
      <c r="O84" s="47">
        <v>380000</v>
      </c>
      <c r="P84" s="70"/>
      <c r="Q84" s="49">
        <f>O84*K84*H84</f>
        <v>17100000</v>
      </c>
      <c r="R84" s="71"/>
      <c r="S84" s="72"/>
      <c r="T84" s="72"/>
      <c r="U84" s="49">
        <f>SUM(P84:S84)</f>
        <v>17100000</v>
      </c>
      <c r="V84" s="94"/>
    </row>
    <row r="85" spans="1:24" s="326" customFormat="1" ht="13.8">
      <c r="A85" s="66"/>
      <c r="B85" s="43" t="s">
        <v>173</v>
      </c>
      <c r="C85" s="4"/>
      <c r="D85" s="4"/>
      <c r="E85" s="47"/>
      <c r="F85" s="4"/>
      <c r="G85" s="4"/>
      <c r="H85" s="47">
        <v>5</v>
      </c>
      <c r="I85" s="48" t="s">
        <v>30</v>
      </c>
      <c r="J85" s="48" t="s">
        <v>27</v>
      </c>
      <c r="K85" s="47">
        <v>8</v>
      </c>
      <c r="L85" s="48" t="s">
        <v>31</v>
      </c>
      <c r="M85" s="48" t="s">
        <v>27</v>
      </c>
      <c r="N85" s="48" t="s">
        <v>28</v>
      </c>
      <c r="O85" s="47">
        <v>400000</v>
      </c>
      <c r="P85" s="70"/>
      <c r="Q85" s="49">
        <f>O85*K85*H85</f>
        <v>16000000</v>
      </c>
      <c r="R85" s="71"/>
      <c r="S85" s="72"/>
      <c r="T85" s="72"/>
      <c r="U85" s="49">
        <f>SUM(P85:S85)</f>
        <v>16000000</v>
      </c>
      <c r="V85" s="94"/>
    </row>
    <row r="86" spans="1:24">
      <c r="A86" s="54"/>
      <c r="B86" s="10"/>
      <c r="C86" s="10"/>
      <c r="D86" s="10"/>
      <c r="E86" s="77"/>
      <c r="F86" s="77"/>
      <c r="G86" s="11"/>
      <c r="H86" s="77"/>
      <c r="I86" s="11"/>
      <c r="J86" s="11"/>
      <c r="K86" s="77"/>
      <c r="L86" s="11"/>
      <c r="M86" s="11"/>
      <c r="N86" s="11"/>
      <c r="O86" s="77"/>
      <c r="P86" s="63"/>
      <c r="Q86" s="63"/>
      <c r="R86" s="63"/>
      <c r="S86" s="65"/>
      <c r="T86" s="65"/>
      <c r="U86" s="49">
        <f t="shared" ref="U86" si="4">Q86</f>
        <v>0</v>
      </c>
      <c r="V86" s="41"/>
    </row>
    <row r="87" spans="1:24" s="87" customFormat="1" ht="13.8" thickBot="1">
      <c r="A87" s="84"/>
      <c r="B87" s="484" t="s">
        <v>33</v>
      </c>
      <c r="C87" s="485"/>
      <c r="D87" s="485"/>
      <c r="E87" s="485"/>
      <c r="F87" s="485"/>
      <c r="G87" s="485"/>
      <c r="H87" s="485"/>
      <c r="I87" s="485"/>
      <c r="J87" s="485"/>
      <c r="K87" s="485"/>
      <c r="L87" s="485"/>
      <c r="M87" s="485"/>
      <c r="N87" s="485"/>
      <c r="O87" s="504"/>
      <c r="P87" s="85">
        <f>SUM(P19:P86)</f>
        <v>2940000</v>
      </c>
      <c r="Q87" s="85">
        <f>SUM(Q19:Q86)</f>
        <v>179000000</v>
      </c>
      <c r="R87" s="85">
        <f>SUM(R18:R86)</f>
        <v>129440000</v>
      </c>
      <c r="S87" s="85">
        <f>SUM(S18:S86)</f>
        <v>15100000</v>
      </c>
      <c r="T87" s="85">
        <f>SUM(T18:T86)</f>
        <v>48300000</v>
      </c>
      <c r="U87" s="85">
        <f>SUM(U19:U86)</f>
        <v>374780000</v>
      </c>
      <c r="V87" s="86">
        <f>SUM(V19:V86)</f>
        <v>374780000</v>
      </c>
    </row>
    <row r="88" spans="1:24" ht="13.8" thickTop="1">
      <c r="A88" s="88"/>
    </row>
    <row r="89" spans="1:24" s="15" customFormat="1" ht="13.8">
      <c r="B89" s="12"/>
      <c r="F89" s="90"/>
      <c r="H89" s="90"/>
      <c r="I89" s="90"/>
      <c r="K89" s="90"/>
      <c r="L89" s="90"/>
      <c r="M89" s="90"/>
      <c r="O89" s="20"/>
      <c r="P89" s="20"/>
      <c r="Q89" s="20"/>
      <c r="S89" s="20" t="s">
        <v>633</v>
      </c>
      <c r="U89" s="12"/>
      <c r="X89" s="14"/>
    </row>
    <row r="90" spans="1:24" s="15" customFormat="1" ht="13.8">
      <c r="B90" s="12"/>
      <c r="F90" s="90"/>
      <c r="H90" s="90"/>
      <c r="I90" s="90"/>
      <c r="K90" s="90"/>
      <c r="L90" s="90"/>
      <c r="M90" s="90"/>
      <c r="O90" s="20"/>
      <c r="P90" s="20"/>
      <c r="Q90" s="20"/>
      <c r="S90" s="20" t="s">
        <v>176</v>
      </c>
      <c r="U90" s="12"/>
      <c r="X90" s="14"/>
    </row>
    <row r="91" spans="1:24" s="15" customFormat="1" ht="13.8">
      <c r="B91" s="12"/>
      <c r="F91" s="90"/>
      <c r="H91" s="90"/>
      <c r="I91" s="90"/>
      <c r="K91" s="90"/>
      <c r="L91" s="90"/>
      <c r="M91" s="90"/>
      <c r="O91" s="20"/>
      <c r="P91" s="20"/>
      <c r="Q91" s="20"/>
      <c r="S91" s="20" t="s">
        <v>177</v>
      </c>
      <c r="U91" s="12"/>
      <c r="X91" s="14"/>
    </row>
    <row r="92" spans="1:24" s="15" customFormat="1" ht="13.8">
      <c r="B92" s="12"/>
      <c r="F92" s="90"/>
      <c r="H92" s="90"/>
      <c r="I92" s="90"/>
      <c r="K92" s="90"/>
      <c r="L92" s="90"/>
      <c r="M92" s="90"/>
      <c r="O92" s="20"/>
      <c r="P92" s="20"/>
      <c r="Q92" s="20"/>
      <c r="S92" s="20"/>
      <c r="U92" s="12"/>
      <c r="X92" s="14"/>
    </row>
    <row r="93" spans="1:24" s="15" customFormat="1" ht="13.8">
      <c r="B93" s="12"/>
      <c r="F93" s="90"/>
      <c r="H93" s="90"/>
      <c r="I93" s="90"/>
      <c r="K93" s="90"/>
      <c r="L93" s="90"/>
      <c r="M93" s="90"/>
      <c r="O93" s="20"/>
      <c r="P93" s="20"/>
      <c r="Q93" s="20"/>
      <c r="S93" s="20"/>
      <c r="U93" s="12"/>
      <c r="X93" s="14"/>
    </row>
    <row r="94" spans="1:24" s="15" customFormat="1" ht="13.8">
      <c r="B94" s="12"/>
      <c r="F94" s="90"/>
      <c r="H94" s="90"/>
      <c r="I94" s="90"/>
      <c r="K94" s="90"/>
      <c r="L94" s="90"/>
      <c r="M94" s="90"/>
      <c r="O94" s="20"/>
      <c r="P94" s="20"/>
      <c r="Q94" s="20"/>
      <c r="S94" s="20"/>
      <c r="U94" s="12"/>
      <c r="X94" s="14"/>
    </row>
    <row r="95" spans="1:24" s="15" customFormat="1" ht="13.8">
      <c r="B95" s="12"/>
      <c r="F95" s="90"/>
      <c r="H95" s="90"/>
      <c r="I95" s="90"/>
      <c r="K95" s="90"/>
      <c r="L95" s="90"/>
      <c r="M95" s="90"/>
      <c r="O95" s="20"/>
      <c r="P95" s="20"/>
      <c r="Q95" s="20"/>
      <c r="S95" s="20" t="s">
        <v>187</v>
      </c>
      <c r="U95" s="12"/>
      <c r="X95" s="14"/>
    </row>
    <row r="96" spans="1:24">
      <c r="A96" s="88"/>
      <c r="R96" s="29"/>
      <c r="S96" s="20" t="s">
        <v>174</v>
      </c>
      <c r="T96" s="29"/>
      <c r="U96" s="34"/>
      <c r="V96" s="29"/>
    </row>
    <row r="97" spans="2:22" s="15" customFormat="1" ht="13.8">
      <c r="B97" s="12"/>
      <c r="F97" s="90"/>
      <c r="H97" s="90"/>
      <c r="I97" s="90"/>
      <c r="K97" s="90"/>
      <c r="L97" s="90"/>
      <c r="M97" s="90"/>
      <c r="O97" s="20"/>
      <c r="P97" s="20"/>
      <c r="Q97" s="20"/>
      <c r="R97" s="20"/>
      <c r="S97" s="12"/>
      <c r="T97" s="12"/>
      <c r="V97" s="14"/>
    </row>
    <row r="98" spans="2:22" s="15" customFormat="1" ht="13.8">
      <c r="B98" s="12"/>
      <c r="F98" s="90"/>
      <c r="H98" s="90"/>
      <c r="I98" s="90"/>
      <c r="K98" s="90"/>
      <c r="L98" s="90"/>
      <c r="M98" s="90"/>
      <c r="O98" s="20"/>
      <c r="P98" s="20"/>
      <c r="Q98" s="20"/>
      <c r="R98" s="20"/>
      <c r="S98" s="12"/>
      <c r="T98" s="12"/>
      <c r="V98" s="14"/>
    </row>
    <row r="99" spans="2:22" s="15" customFormat="1" ht="13.8">
      <c r="B99" s="12"/>
      <c r="F99" s="90"/>
      <c r="H99" s="90"/>
      <c r="I99" s="90"/>
      <c r="K99" s="90"/>
      <c r="L99" s="90"/>
      <c r="M99" s="90"/>
      <c r="O99" s="20"/>
      <c r="P99" s="20"/>
      <c r="Q99" s="20"/>
      <c r="R99" s="20"/>
      <c r="S99" s="12"/>
      <c r="T99" s="12"/>
      <c r="V99" s="14"/>
    </row>
    <row r="100" spans="2:22" s="15" customFormat="1" ht="13.8">
      <c r="B100" s="12"/>
      <c r="F100" s="90"/>
      <c r="H100" s="90"/>
      <c r="I100" s="90"/>
      <c r="K100" s="90"/>
      <c r="L100" s="90"/>
      <c r="M100" s="90"/>
      <c r="O100" s="20"/>
      <c r="P100" s="20"/>
      <c r="Q100" s="20"/>
      <c r="R100" s="20"/>
      <c r="S100" s="12"/>
      <c r="T100" s="12"/>
      <c r="V100" s="14"/>
    </row>
    <row r="101" spans="2:22" s="15" customFormat="1" ht="13.8">
      <c r="B101" s="12"/>
      <c r="F101" s="90"/>
      <c r="H101" s="90"/>
      <c r="I101" s="90"/>
      <c r="K101" s="90"/>
      <c r="L101" s="90"/>
      <c r="M101" s="90"/>
      <c r="O101" s="20"/>
      <c r="P101" s="20"/>
      <c r="Q101" s="20"/>
      <c r="R101" s="20"/>
      <c r="S101" s="12"/>
      <c r="T101" s="12"/>
      <c r="V101" s="14"/>
    </row>
    <row r="102" spans="2:22" s="15" customFormat="1" ht="13.8">
      <c r="B102" s="12"/>
      <c r="F102" s="90"/>
      <c r="H102" s="90"/>
      <c r="I102" s="90"/>
      <c r="K102" s="90"/>
      <c r="L102" s="90"/>
      <c r="M102" s="90"/>
      <c r="O102" s="20"/>
      <c r="P102" s="20"/>
      <c r="Q102" s="20"/>
      <c r="R102" s="20"/>
      <c r="S102" s="12"/>
      <c r="T102" s="12"/>
      <c r="V102" s="14"/>
    </row>
    <row r="103" spans="2:22" s="15" customFormat="1" ht="13.8">
      <c r="B103" s="12"/>
      <c r="F103" s="90"/>
      <c r="H103" s="90"/>
      <c r="I103" s="90"/>
      <c r="K103" s="90"/>
      <c r="L103" s="90"/>
      <c r="M103" s="90"/>
      <c r="O103" s="20"/>
      <c r="P103" s="20"/>
      <c r="Q103" s="20"/>
      <c r="R103" s="20"/>
      <c r="S103" s="12"/>
      <c r="T103" s="12"/>
      <c r="V103" s="14"/>
    </row>
    <row r="104" spans="2:22" s="15" customFormat="1" ht="13.8">
      <c r="B104" s="12"/>
      <c r="F104" s="90"/>
      <c r="H104" s="90"/>
      <c r="I104" s="90"/>
      <c r="K104" s="90"/>
      <c r="L104" s="90"/>
      <c r="M104" s="90"/>
      <c r="O104" s="20"/>
      <c r="P104" s="20"/>
      <c r="Q104" s="20"/>
      <c r="R104" s="20"/>
      <c r="S104" s="12"/>
      <c r="T104" s="12"/>
      <c r="V104" s="14"/>
    </row>
    <row r="105" spans="2:22" s="15" customFormat="1">
      <c r="F105" s="90"/>
      <c r="G105" s="90"/>
      <c r="I105" s="90"/>
      <c r="J105" s="90"/>
      <c r="L105" s="90"/>
      <c r="M105" s="90"/>
      <c r="N105" s="90"/>
      <c r="P105" s="20"/>
      <c r="Q105" s="20"/>
      <c r="R105" s="20"/>
      <c r="S105" s="20"/>
      <c r="T105" s="20"/>
      <c r="U105" s="20"/>
      <c r="V105" s="14"/>
    </row>
  </sheetData>
  <mergeCells count="10">
    <mergeCell ref="B17:O17"/>
    <mergeCell ref="B87:O87"/>
    <mergeCell ref="A1:U1"/>
    <mergeCell ref="A14:A16"/>
    <mergeCell ref="B14:O14"/>
    <mergeCell ref="P14:T14"/>
    <mergeCell ref="U14:U16"/>
    <mergeCell ref="B15:O15"/>
    <mergeCell ref="B16:O16"/>
    <mergeCell ref="E12:F12"/>
  </mergeCells>
  <printOptions horizontalCentered="1"/>
  <pageMargins left="0.45" right="0.45" top="0.75" bottom="0.5" header="0.3" footer="0.3"/>
  <pageSetup paperSize="9" scale="69" fitToHeight="10" orientation="landscape" horizontalDpi="4294967293" verticalDpi="4294967293" r:id="rId1"/>
  <headerFooter>
    <oddFooter>&amp;L&amp;"-,Italic"Dokumentasi Pelestarian Cagar Budaya&amp;R&amp;P</oddFooter>
  </headerFooter>
  <rowBreaks count="1" manualBreakCount="1">
    <brk id="46" max="20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2060"/>
  </sheetPr>
  <dimension ref="A1:AF167"/>
  <sheetViews>
    <sheetView view="pageBreakPreview" topLeftCell="S141" zoomScale="75" zoomScaleSheetLayoutView="75" workbookViewId="0">
      <selection activeCell="Z159" sqref="Z159"/>
    </sheetView>
  </sheetViews>
  <sheetFormatPr defaultColWidth="8.88671875" defaultRowHeight="13.2"/>
  <cols>
    <col min="1" max="1" width="9.109375" style="29" bestFit="1" customWidth="1"/>
    <col min="2" max="2" width="21.6640625" style="29" customWidth="1"/>
    <col min="3" max="3" width="3.109375" style="29" customWidth="1"/>
    <col min="4" max="4" width="8.88671875" style="29"/>
    <col min="5" max="5" width="7.44140625" style="29" customWidth="1"/>
    <col min="6" max="6" width="4.5546875" style="29" customWidth="1"/>
    <col min="7" max="7" width="3.6640625" style="89" bestFit="1" customWidth="1"/>
    <col min="8" max="8" width="4.109375" style="89" customWidth="1"/>
    <col min="9" max="9" width="5.33203125" style="29" bestFit="1" customWidth="1"/>
    <col min="10" max="10" width="4.6640625" style="89" bestFit="1" customWidth="1"/>
    <col min="11" max="11" width="3" style="89" bestFit="1" customWidth="1"/>
    <col min="12" max="12" width="4.44140625" style="29" bestFit="1" customWidth="1"/>
    <col min="13" max="13" width="5.44140625" style="89" bestFit="1" customWidth="1"/>
    <col min="14" max="14" width="3.33203125" style="89" bestFit="1" customWidth="1"/>
    <col min="15" max="15" width="4.5546875" style="89" bestFit="1" customWidth="1"/>
    <col min="16" max="16" width="14.33203125" style="29" bestFit="1" customWidth="1"/>
    <col min="17" max="17" width="14.6640625" style="28" customWidth="1"/>
    <col min="18" max="19" width="12.109375" style="28" customWidth="1"/>
    <col min="20" max="20" width="13" style="28" customWidth="1"/>
    <col min="21" max="21" width="14" style="28" customWidth="1"/>
    <col min="22" max="22" width="13.6640625" style="28" customWidth="1"/>
    <col min="23" max="23" width="13.44140625" style="28" customWidth="1"/>
    <col min="24" max="26" width="13.6640625" style="28" customWidth="1"/>
    <col min="27" max="27" width="12.33203125" style="28" customWidth="1"/>
    <col min="28" max="28" width="12.109375" style="28" customWidth="1"/>
    <col min="29" max="29" width="15.109375" style="28" bestFit="1" customWidth="1"/>
    <col min="30" max="30" width="14.33203125" style="34" bestFit="1" customWidth="1"/>
    <col min="31" max="31" width="8.88671875" style="29"/>
    <col min="32" max="32" width="14.33203125" style="29" bestFit="1" customWidth="1"/>
    <col min="33" max="16384" width="8.88671875" style="29"/>
  </cols>
  <sheetData>
    <row r="1" spans="1:30" s="16" customFormat="1">
      <c r="A1" s="486" t="s">
        <v>565</v>
      </c>
      <c r="B1" s="486"/>
      <c r="C1" s="486"/>
      <c r="D1" s="486"/>
      <c r="E1" s="486"/>
      <c r="F1" s="486"/>
      <c r="G1" s="486"/>
      <c r="H1" s="486"/>
      <c r="I1" s="486"/>
      <c r="J1" s="486"/>
      <c r="K1" s="486"/>
      <c r="L1" s="486"/>
      <c r="M1" s="486"/>
      <c r="N1" s="486"/>
      <c r="O1" s="486"/>
      <c r="P1" s="486"/>
      <c r="Q1" s="486"/>
      <c r="R1" s="486"/>
      <c r="S1" s="486"/>
      <c r="T1" s="486"/>
      <c r="U1" s="486"/>
      <c r="V1" s="486"/>
      <c r="W1" s="486"/>
      <c r="X1" s="486"/>
      <c r="Y1" s="486"/>
      <c r="Z1" s="486"/>
      <c r="AA1" s="486"/>
      <c r="AB1" s="486"/>
      <c r="AC1" s="486"/>
      <c r="AD1" s="14"/>
    </row>
    <row r="2" spans="1:30" s="16" customFormat="1">
      <c r="A2" s="112"/>
      <c r="B2" s="112"/>
      <c r="C2" s="112"/>
      <c r="D2" s="18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20"/>
      <c r="AD2" s="14"/>
    </row>
    <row r="3" spans="1:30" s="16" customFormat="1">
      <c r="A3" s="21" t="s">
        <v>1</v>
      </c>
      <c r="B3" s="21"/>
      <c r="C3" s="22" t="s">
        <v>2</v>
      </c>
      <c r="D3" s="1" t="s">
        <v>236</v>
      </c>
      <c r="E3" s="1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AD3" s="78"/>
    </row>
    <row r="4" spans="1:30" s="16" customFormat="1">
      <c r="A4" s="21" t="s">
        <v>4</v>
      </c>
      <c r="B4" s="21"/>
      <c r="C4" s="22" t="s">
        <v>2</v>
      </c>
      <c r="D4" s="1" t="s">
        <v>34</v>
      </c>
      <c r="E4" s="1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AD4" s="78"/>
    </row>
    <row r="5" spans="1:30" s="16" customFormat="1">
      <c r="A5" s="21" t="s">
        <v>5</v>
      </c>
      <c r="B5" s="21"/>
      <c r="C5" s="22" t="s">
        <v>2</v>
      </c>
      <c r="D5" s="1" t="s">
        <v>37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AD5" s="78"/>
    </row>
    <row r="6" spans="1:30" s="16" customFormat="1">
      <c r="A6" s="21" t="s">
        <v>6</v>
      </c>
      <c r="B6" s="21"/>
      <c r="C6" s="22" t="s">
        <v>2</v>
      </c>
      <c r="D6" s="98" t="s">
        <v>192</v>
      </c>
      <c r="E6" s="1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AD6" s="78"/>
    </row>
    <row r="7" spans="1:30" s="16" customFormat="1">
      <c r="A7" s="21" t="s">
        <v>7</v>
      </c>
      <c r="B7" s="21"/>
      <c r="C7" s="22" t="s">
        <v>2</v>
      </c>
      <c r="D7" s="1" t="s">
        <v>35</v>
      </c>
      <c r="E7" s="1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AD7" s="78"/>
    </row>
    <row r="8" spans="1:30" s="16" customFormat="1">
      <c r="A8" s="21" t="s">
        <v>8</v>
      </c>
      <c r="B8" s="21"/>
      <c r="C8" s="22" t="s">
        <v>2</v>
      </c>
      <c r="D8" s="16" t="s">
        <v>88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AD8" s="78"/>
    </row>
    <row r="9" spans="1:30" s="16" customFormat="1">
      <c r="A9" s="21" t="s">
        <v>9</v>
      </c>
      <c r="B9" s="21"/>
      <c r="C9" s="22" t="s">
        <v>2</v>
      </c>
      <c r="D9" s="13" t="s">
        <v>215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2"/>
      <c r="S9" s="2"/>
      <c r="AD9" s="78"/>
    </row>
    <row r="10" spans="1:30" s="16" customFormat="1">
      <c r="A10" s="21" t="s">
        <v>10</v>
      </c>
      <c r="B10" s="21"/>
      <c r="C10" s="22" t="s">
        <v>2</v>
      </c>
      <c r="D10" s="1" t="s">
        <v>216</v>
      </c>
      <c r="E10" s="15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AD10" s="78"/>
    </row>
    <row r="11" spans="1:30" s="16" customFormat="1">
      <c r="A11" s="21" t="s">
        <v>11</v>
      </c>
      <c r="B11" s="21"/>
      <c r="C11" s="22" t="s">
        <v>2</v>
      </c>
      <c r="D11" s="206" t="s">
        <v>217</v>
      </c>
      <c r="E11" s="1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AD11" s="78"/>
    </row>
    <row r="12" spans="1:30" s="16" customFormat="1">
      <c r="A12" s="22" t="s">
        <v>12</v>
      </c>
      <c r="C12" s="22" t="s">
        <v>2</v>
      </c>
      <c r="D12" s="23" t="s">
        <v>13</v>
      </c>
      <c r="E12" s="505">
        <f>AC149</f>
        <v>4296978000</v>
      </c>
      <c r="F12" s="505"/>
      <c r="G12" s="505"/>
      <c r="H12" s="505"/>
      <c r="I12" s="23"/>
      <c r="J12" s="22"/>
      <c r="K12" s="22"/>
      <c r="L12" s="22"/>
      <c r="M12" s="24"/>
      <c r="N12" s="22"/>
      <c r="O12" s="25"/>
      <c r="P12" s="26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8"/>
      <c r="AD12" s="34"/>
    </row>
    <row r="13" spans="1:30" s="16" customFormat="1" ht="13.8" thickBot="1">
      <c r="A13" s="22"/>
      <c r="B13" s="30"/>
      <c r="G13" s="31"/>
      <c r="H13" s="31"/>
      <c r="I13" s="31"/>
      <c r="K13" s="31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78"/>
    </row>
    <row r="14" spans="1:30" s="16" customFormat="1" ht="13.8" thickTop="1">
      <c r="A14" s="487" t="s">
        <v>14</v>
      </c>
      <c r="B14" s="490" t="s">
        <v>15</v>
      </c>
      <c r="C14" s="491"/>
      <c r="D14" s="491"/>
      <c r="E14" s="491"/>
      <c r="F14" s="491"/>
      <c r="G14" s="491"/>
      <c r="H14" s="491"/>
      <c r="I14" s="491"/>
      <c r="J14" s="491"/>
      <c r="K14" s="491"/>
      <c r="L14" s="491"/>
      <c r="M14" s="491"/>
      <c r="N14" s="491"/>
      <c r="O14" s="491"/>
      <c r="P14" s="492"/>
      <c r="Q14" s="514" t="s">
        <v>357</v>
      </c>
      <c r="R14" s="514"/>
      <c r="S14" s="514"/>
      <c r="T14" s="514"/>
      <c r="U14" s="514"/>
      <c r="V14" s="514"/>
      <c r="W14" s="514"/>
      <c r="X14" s="514"/>
      <c r="Y14" s="514"/>
      <c r="Z14" s="514"/>
      <c r="AA14" s="514"/>
      <c r="AB14" s="514"/>
      <c r="AC14" s="495" t="s">
        <v>16</v>
      </c>
      <c r="AD14" s="172"/>
    </row>
    <row r="15" spans="1:30" s="16" customFormat="1" ht="60.6" customHeight="1">
      <c r="A15" s="488"/>
      <c r="B15" s="498" t="s">
        <v>17</v>
      </c>
      <c r="C15" s="499"/>
      <c r="D15" s="499"/>
      <c r="E15" s="499"/>
      <c r="F15" s="499"/>
      <c r="G15" s="499"/>
      <c r="H15" s="499"/>
      <c r="I15" s="499"/>
      <c r="J15" s="499"/>
      <c r="K15" s="499"/>
      <c r="L15" s="499"/>
      <c r="M15" s="499"/>
      <c r="N15" s="499"/>
      <c r="O15" s="499"/>
      <c r="P15" s="500"/>
      <c r="Q15" s="33" t="s">
        <v>92</v>
      </c>
      <c r="R15" s="33" t="s">
        <v>103</v>
      </c>
      <c r="S15" s="33" t="s">
        <v>244</v>
      </c>
      <c r="T15" s="33" t="s">
        <v>116</v>
      </c>
      <c r="U15" s="33" t="s">
        <v>118</v>
      </c>
      <c r="V15" s="33" t="s">
        <v>122</v>
      </c>
      <c r="W15" s="33" t="s">
        <v>143</v>
      </c>
      <c r="X15" s="181" t="s">
        <v>153</v>
      </c>
      <c r="Y15" s="181" t="s">
        <v>154</v>
      </c>
      <c r="Z15" s="181" t="s">
        <v>155</v>
      </c>
      <c r="AA15" s="33" t="s">
        <v>87</v>
      </c>
      <c r="AB15" s="33" t="s">
        <v>167</v>
      </c>
      <c r="AC15" s="496"/>
      <c r="AD15" s="172"/>
    </row>
    <row r="16" spans="1:30" s="16" customFormat="1">
      <c r="A16" s="489"/>
      <c r="B16" s="501" t="s">
        <v>19</v>
      </c>
      <c r="C16" s="502"/>
      <c r="D16" s="502"/>
      <c r="E16" s="502"/>
      <c r="F16" s="502"/>
      <c r="G16" s="502"/>
      <c r="H16" s="502"/>
      <c r="I16" s="502"/>
      <c r="J16" s="502"/>
      <c r="K16" s="502"/>
      <c r="L16" s="502"/>
      <c r="M16" s="502"/>
      <c r="N16" s="502"/>
      <c r="O16" s="502"/>
      <c r="P16" s="503"/>
      <c r="Q16" s="93">
        <v>5111</v>
      </c>
      <c r="R16" s="93">
        <v>523121</v>
      </c>
      <c r="S16" s="93">
        <v>523111</v>
      </c>
      <c r="T16" s="93">
        <v>524111</v>
      </c>
      <c r="U16" s="93">
        <v>521111</v>
      </c>
      <c r="V16" s="93">
        <v>521115</v>
      </c>
      <c r="W16" s="138">
        <v>521114</v>
      </c>
      <c r="X16" s="93">
        <v>522111</v>
      </c>
      <c r="Y16" s="93">
        <v>522112</v>
      </c>
      <c r="Z16" s="93">
        <v>522113</v>
      </c>
      <c r="AA16" s="93">
        <v>522191</v>
      </c>
      <c r="AB16" s="83">
        <v>522141</v>
      </c>
      <c r="AC16" s="497"/>
      <c r="AD16" s="172"/>
    </row>
    <row r="17" spans="1:32" s="16" customFormat="1">
      <c r="A17" s="36" t="s">
        <v>21</v>
      </c>
      <c r="B17" s="506">
        <v>2</v>
      </c>
      <c r="C17" s="507"/>
      <c r="D17" s="507"/>
      <c r="E17" s="507"/>
      <c r="F17" s="507"/>
      <c r="G17" s="507"/>
      <c r="H17" s="507"/>
      <c r="I17" s="507"/>
      <c r="J17" s="507"/>
      <c r="K17" s="507"/>
      <c r="L17" s="507"/>
      <c r="M17" s="507"/>
      <c r="N17" s="507"/>
      <c r="O17" s="507"/>
      <c r="P17" s="508"/>
      <c r="Q17" s="36" t="s">
        <v>22</v>
      </c>
      <c r="R17" s="36" t="s">
        <v>23</v>
      </c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 t="s">
        <v>25</v>
      </c>
      <c r="AD17" s="172"/>
    </row>
    <row r="18" spans="1:32">
      <c r="A18" s="37"/>
      <c r="B18" s="38"/>
      <c r="C18" s="38"/>
      <c r="D18" s="38"/>
      <c r="E18" s="38"/>
      <c r="F18" s="38"/>
      <c r="G18" s="39"/>
      <c r="H18" s="39"/>
      <c r="I18" s="38"/>
      <c r="J18" s="39"/>
      <c r="K18" s="39"/>
      <c r="L18" s="38"/>
      <c r="M18" s="39"/>
      <c r="N18" s="39"/>
      <c r="O18" s="39"/>
      <c r="P18" s="38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</row>
    <row r="19" spans="1:32">
      <c r="A19" s="107"/>
      <c r="B19" s="55" t="s">
        <v>88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50"/>
    </row>
    <row r="20" spans="1:32">
      <c r="A20" s="123"/>
      <c r="B20" s="22"/>
      <c r="C20" s="46"/>
      <c r="D20" s="46"/>
      <c r="E20" s="47"/>
      <c r="F20" s="47"/>
      <c r="G20" s="48"/>
      <c r="H20" s="48"/>
      <c r="I20" s="47"/>
      <c r="J20" s="48"/>
      <c r="K20" s="48"/>
      <c r="L20" s="47"/>
      <c r="M20" s="48"/>
      <c r="N20" s="48"/>
      <c r="O20" s="48"/>
      <c r="P20" s="47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</row>
    <row r="21" spans="1:32">
      <c r="A21" s="54">
        <v>1</v>
      </c>
      <c r="B21" s="55" t="s">
        <v>89</v>
      </c>
      <c r="C21" s="4"/>
      <c r="D21" s="4"/>
      <c r="E21" s="47"/>
      <c r="F21" s="4"/>
      <c r="G21" s="4"/>
      <c r="H21" s="4"/>
      <c r="I21" s="47"/>
      <c r="J21" s="48"/>
      <c r="K21" s="48"/>
      <c r="L21" s="47"/>
      <c r="M21" s="48"/>
      <c r="N21" s="48"/>
      <c r="O21" s="48"/>
      <c r="P21" s="57"/>
      <c r="Q21" s="63"/>
      <c r="R21" s="9">
        <f t="shared" ref="R21" si="0">P21*L21*I21</f>
        <v>0</v>
      </c>
      <c r="S21" s="9"/>
      <c r="T21" s="65"/>
      <c r="U21" s="65"/>
      <c r="V21" s="65"/>
      <c r="W21" s="65"/>
      <c r="X21" s="65"/>
      <c r="Y21" s="65"/>
      <c r="Z21" s="65"/>
      <c r="AA21" s="65"/>
      <c r="AB21" s="65"/>
      <c r="AC21" s="49">
        <f>SUM(Q21:AB21)</f>
        <v>0</v>
      </c>
      <c r="AD21" s="34">
        <f>SUM(AC23)</f>
        <v>1750000000</v>
      </c>
    </row>
    <row r="22" spans="1:32">
      <c r="A22" s="54"/>
      <c r="B22" s="55" t="s">
        <v>211</v>
      </c>
      <c r="C22" s="4"/>
      <c r="D22" s="4"/>
      <c r="E22" s="47"/>
      <c r="F22" s="4"/>
      <c r="G22" s="4"/>
      <c r="H22" s="4"/>
      <c r="I22" s="47"/>
      <c r="J22" s="48"/>
      <c r="K22" s="48"/>
      <c r="L22" s="47"/>
      <c r="M22" s="48"/>
      <c r="N22" s="48"/>
      <c r="O22" s="48"/>
      <c r="P22" s="57"/>
      <c r="Q22" s="63"/>
      <c r="R22" s="9"/>
      <c r="S22" s="9"/>
      <c r="T22" s="65"/>
      <c r="U22" s="65"/>
      <c r="V22" s="65"/>
      <c r="W22" s="65"/>
      <c r="X22" s="65"/>
      <c r="Y22" s="65"/>
      <c r="Z22" s="65"/>
      <c r="AA22" s="65"/>
      <c r="AB22" s="65"/>
      <c r="AC22" s="49"/>
      <c r="AF22" s="29">
        <v>1397219000</v>
      </c>
    </row>
    <row r="23" spans="1:32">
      <c r="A23" s="54"/>
      <c r="B23" s="43" t="s">
        <v>90</v>
      </c>
      <c r="C23" s="4"/>
      <c r="D23" s="4"/>
      <c r="E23" s="47"/>
      <c r="F23" s="4"/>
      <c r="G23" s="4"/>
      <c r="H23" s="4"/>
      <c r="I23" s="47"/>
      <c r="J23" s="48"/>
      <c r="K23" s="48"/>
      <c r="L23" s="47">
        <v>1</v>
      </c>
      <c r="M23" s="48" t="s">
        <v>91</v>
      </c>
      <c r="N23" s="48" t="s">
        <v>27</v>
      </c>
      <c r="O23" s="48" t="s">
        <v>28</v>
      </c>
      <c r="P23" s="57">
        <v>1750000000</v>
      </c>
      <c r="Q23" s="63">
        <f>P23*L23</f>
        <v>1750000000</v>
      </c>
      <c r="R23" s="9"/>
      <c r="S23" s="9"/>
      <c r="T23" s="65"/>
      <c r="U23" s="65"/>
      <c r="V23" s="65"/>
      <c r="W23" s="65"/>
      <c r="X23" s="65"/>
      <c r="Y23" s="65"/>
      <c r="Z23" s="65"/>
      <c r="AA23" s="65"/>
      <c r="AB23" s="65"/>
      <c r="AC23" s="49">
        <f>SUM(Q23:AB23)</f>
        <v>1750000000</v>
      </c>
      <c r="AF23" s="29">
        <f>AD21-AF22</f>
        <v>352781000</v>
      </c>
    </row>
    <row r="24" spans="1:32" s="124" customFormat="1">
      <c r="A24" s="66"/>
      <c r="B24" s="46"/>
      <c r="C24" s="67"/>
      <c r="D24" s="67"/>
      <c r="E24" s="68"/>
      <c r="F24" s="67"/>
      <c r="G24" s="67"/>
      <c r="H24" s="67"/>
      <c r="I24" s="59"/>
      <c r="J24" s="60"/>
      <c r="K24" s="61"/>
      <c r="L24" s="59"/>
      <c r="M24" s="60"/>
      <c r="N24" s="61"/>
      <c r="O24" s="60"/>
      <c r="P24" s="62"/>
      <c r="Q24" s="70"/>
      <c r="R24" s="70"/>
      <c r="S24" s="70"/>
      <c r="T24" s="49"/>
      <c r="U24" s="49"/>
      <c r="V24" s="49"/>
      <c r="W24" s="49"/>
      <c r="X24" s="49"/>
      <c r="Y24" s="49"/>
      <c r="Z24" s="49"/>
      <c r="AA24" s="71"/>
      <c r="AB24" s="71"/>
      <c r="AC24" s="71"/>
      <c r="AD24" s="400"/>
      <c r="AE24" s="109"/>
      <c r="AF24" s="108"/>
    </row>
    <row r="25" spans="1:32">
      <c r="A25" s="54">
        <v>2</v>
      </c>
      <c r="B25" s="122" t="s">
        <v>212</v>
      </c>
      <c r="C25" s="4"/>
      <c r="D25" s="4"/>
      <c r="E25" s="4"/>
      <c r="F25" s="4"/>
      <c r="G25" s="52"/>
      <c r="H25" s="52"/>
      <c r="I25" s="47"/>
      <c r="J25" s="48"/>
      <c r="K25" s="64"/>
      <c r="L25" s="47"/>
      <c r="M25" s="48"/>
      <c r="N25" s="64"/>
      <c r="O25" s="48"/>
      <c r="P25" s="47"/>
      <c r="Q25" s="63"/>
      <c r="R25" s="70"/>
      <c r="S25" s="70"/>
      <c r="T25" s="49"/>
      <c r="U25" s="49"/>
      <c r="V25" s="49"/>
      <c r="W25" s="49"/>
      <c r="X25" s="49"/>
      <c r="Y25" s="49"/>
      <c r="Z25" s="49"/>
      <c r="AA25" s="63"/>
      <c r="AB25" s="63"/>
      <c r="AC25" s="49">
        <f>SUM(Q25:AB25)</f>
        <v>0</v>
      </c>
      <c r="AD25" s="34">
        <f>AD26+AD43+AD53+AD67+AD88</f>
        <v>3049966000</v>
      </c>
    </row>
    <row r="26" spans="1:32">
      <c r="A26" s="54" t="s">
        <v>195</v>
      </c>
      <c r="B26" s="122" t="s">
        <v>134</v>
      </c>
      <c r="C26" s="4"/>
      <c r="D26" s="4"/>
      <c r="E26" s="4"/>
      <c r="F26" s="4"/>
      <c r="G26" s="52"/>
      <c r="H26" s="52"/>
      <c r="I26" s="47"/>
      <c r="J26" s="48"/>
      <c r="K26" s="64"/>
      <c r="L26" s="47"/>
      <c r="M26" s="48"/>
      <c r="N26" s="64"/>
      <c r="O26" s="48"/>
      <c r="P26" s="47"/>
      <c r="Q26" s="63"/>
      <c r="R26" s="70"/>
      <c r="S26" s="70"/>
      <c r="T26" s="49"/>
      <c r="U26" s="49"/>
      <c r="V26" s="49"/>
      <c r="W26" s="49"/>
      <c r="X26" s="49"/>
      <c r="Y26" s="49"/>
      <c r="Z26" s="49"/>
      <c r="AA26" s="63"/>
      <c r="AB26" s="63"/>
      <c r="AC26" s="49"/>
      <c r="AD26" s="34">
        <f>SUM(AC29:AC41)</f>
        <v>1606400000</v>
      </c>
    </row>
    <row r="27" spans="1:32">
      <c r="A27" s="54"/>
      <c r="B27" s="122" t="s">
        <v>135</v>
      </c>
      <c r="C27" s="4"/>
      <c r="D27" s="4"/>
      <c r="E27" s="4"/>
      <c r="F27" s="4"/>
      <c r="G27" s="52"/>
      <c r="H27" s="52"/>
      <c r="I27" s="47"/>
      <c r="J27" s="48"/>
      <c r="K27" s="64"/>
      <c r="L27" s="47"/>
      <c r="M27" s="48"/>
      <c r="N27" s="64"/>
      <c r="O27" s="48"/>
      <c r="P27" s="47"/>
      <c r="Q27" s="63"/>
      <c r="R27" s="70"/>
      <c r="S27" s="70"/>
      <c r="T27" s="49"/>
      <c r="U27" s="49"/>
      <c r="V27" s="49"/>
      <c r="W27" s="49"/>
      <c r="X27" s="49"/>
      <c r="Y27" s="49"/>
      <c r="Z27" s="49"/>
      <c r="AA27" s="63"/>
      <c r="AB27" s="63"/>
      <c r="AC27" s="49">
        <f t="shared" ref="AC27:AC36" si="1">SUM(Q27:AB27)</f>
        <v>0</v>
      </c>
    </row>
    <row r="28" spans="1:32">
      <c r="A28" s="54"/>
      <c r="B28" s="132" t="s">
        <v>118</v>
      </c>
      <c r="C28" s="4"/>
      <c r="D28" s="4"/>
      <c r="E28" s="4"/>
      <c r="F28" s="4"/>
      <c r="G28" s="52"/>
      <c r="H28" s="52"/>
      <c r="I28" s="47"/>
      <c r="J28" s="48"/>
      <c r="K28" s="64"/>
      <c r="L28" s="47"/>
      <c r="M28" s="48"/>
      <c r="N28" s="64"/>
      <c r="O28" s="48"/>
      <c r="P28" s="47"/>
      <c r="Q28" s="63"/>
      <c r="R28" s="70"/>
      <c r="S28" s="70"/>
      <c r="T28" s="49"/>
      <c r="U28" s="49"/>
      <c r="V28" s="49"/>
      <c r="W28" s="49"/>
      <c r="X28" s="49"/>
      <c r="Y28" s="49"/>
      <c r="Z28" s="49"/>
      <c r="AA28" s="63"/>
      <c r="AB28" s="63"/>
      <c r="AC28" s="49">
        <f t="shared" si="1"/>
        <v>0</v>
      </c>
    </row>
    <row r="29" spans="1:32">
      <c r="A29" s="54"/>
      <c r="B29" s="149" t="s">
        <v>136</v>
      </c>
      <c r="C29" s="4"/>
      <c r="D29" s="4"/>
      <c r="E29" s="4"/>
      <c r="F29" s="4"/>
      <c r="G29" s="52"/>
      <c r="H29" s="52"/>
      <c r="I29" s="132">
        <v>1</v>
      </c>
      <c r="J29" s="133" t="s">
        <v>91</v>
      </c>
      <c r="K29" s="64" t="s">
        <v>27</v>
      </c>
      <c r="L29" s="134">
        <v>1</v>
      </c>
      <c r="M29" s="135" t="s">
        <v>26</v>
      </c>
      <c r="N29" s="48" t="s">
        <v>27</v>
      </c>
      <c r="O29" s="48" t="s">
        <v>28</v>
      </c>
      <c r="P29" s="47">
        <v>10000000</v>
      </c>
      <c r="Q29" s="63"/>
      <c r="R29" s="70"/>
      <c r="S29" s="70"/>
      <c r="T29" s="49"/>
      <c r="U29" s="49">
        <f>P29*L29*I29</f>
        <v>10000000</v>
      </c>
      <c r="V29" s="49"/>
      <c r="W29" s="49"/>
      <c r="X29" s="49"/>
      <c r="Y29" s="49"/>
      <c r="Z29" s="49"/>
      <c r="AA29" s="63"/>
      <c r="AB29" s="63"/>
      <c r="AC29" s="49">
        <f t="shared" si="1"/>
        <v>10000000</v>
      </c>
      <c r="AD29" s="34">
        <f>SUM(AC29:AC31)</f>
        <v>81000000</v>
      </c>
    </row>
    <row r="30" spans="1:32">
      <c r="A30" s="54"/>
      <c r="B30" s="150" t="s">
        <v>137</v>
      </c>
      <c r="C30" s="4"/>
      <c r="D30" s="4"/>
      <c r="E30" s="4"/>
      <c r="F30" s="4"/>
      <c r="G30" s="52"/>
      <c r="H30" s="52"/>
      <c r="I30" s="132">
        <v>1</v>
      </c>
      <c r="J30" s="133" t="s">
        <v>91</v>
      </c>
      <c r="K30" s="64" t="s">
        <v>27</v>
      </c>
      <c r="L30" s="134">
        <v>1</v>
      </c>
      <c r="M30" s="135" t="s">
        <v>26</v>
      </c>
      <c r="N30" s="48" t="s">
        <v>27</v>
      </c>
      <c r="O30" s="48" t="s">
        <v>28</v>
      </c>
      <c r="P30" s="47">
        <v>10000000</v>
      </c>
      <c r="Q30" s="63"/>
      <c r="R30" s="70"/>
      <c r="S30" s="70"/>
      <c r="T30" s="49"/>
      <c r="U30" s="49">
        <f>P30*L30*I30</f>
        <v>10000000</v>
      </c>
      <c r="V30" s="49"/>
      <c r="W30" s="49"/>
      <c r="X30" s="49"/>
      <c r="Y30" s="49"/>
      <c r="Z30" s="49"/>
      <c r="AA30" s="63"/>
      <c r="AB30" s="63"/>
      <c r="AC30" s="49">
        <f t="shared" si="1"/>
        <v>10000000</v>
      </c>
    </row>
    <row r="31" spans="1:32">
      <c r="A31" s="54"/>
      <c r="B31" s="151" t="s">
        <v>210</v>
      </c>
      <c r="C31" s="4"/>
      <c r="D31" s="4"/>
      <c r="E31" s="4"/>
      <c r="F31" s="4"/>
      <c r="G31" s="52"/>
      <c r="H31" s="52"/>
      <c r="I31" s="132">
        <v>1</v>
      </c>
      <c r="J31" s="133" t="s">
        <v>91</v>
      </c>
      <c r="K31" s="64" t="s">
        <v>27</v>
      </c>
      <c r="L31" s="134">
        <v>1</v>
      </c>
      <c r="M31" s="135" t="s">
        <v>26</v>
      </c>
      <c r="N31" s="48" t="s">
        <v>27</v>
      </c>
      <c r="O31" s="48" t="s">
        <v>28</v>
      </c>
      <c r="P31" s="47">
        <v>61000000</v>
      </c>
      <c r="Q31" s="63"/>
      <c r="R31" s="70"/>
      <c r="S31" s="70"/>
      <c r="T31" s="49"/>
      <c r="U31" s="49">
        <f>P31*L31*I31</f>
        <v>61000000</v>
      </c>
      <c r="V31" s="49"/>
      <c r="W31" s="49"/>
      <c r="X31" s="49"/>
      <c r="Y31" s="49"/>
      <c r="Z31" s="49"/>
      <c r="AA31" s="63"/>
      <c r="AB31" s="63"/>
      <c r="AC31" s="49">
        <f t="shared" si="1"/>
        <v>61000000</v>
      </c>
    </row>
    <row r="32" spans="1:32">
      <c r="A32" s="54"/>
      <c r="B32" s="146" t="s">
        <v>141</v>
      </c>
      <c r="C32" s="4"/>
      <c r="D32" s="4"/>
      <c r="E32" s="4"/>
      <c r="F32" s="4"/>
      <c r="G32" s="52"/>
      <c r="H32" s="52"/>
      <c r="I32" s="47"/>
      <c r="J32" s="48"/>
      <c r="K32" s="64"/>
      <c r="L32" s="47"/>
      <c r="M32" s="48"/>
      <c r="N32" s="64"/>
      <c r="O32" s="48"/>
      <c r="P32" s="47"/>
      <c r="Q32" s="63"/>
      <c r="R32" s="70"/>
      <c r="S32" s="70"/>
      <c r="T32" s="49"/>
      <c r="U32" s="49"/>
      <c r="V32" s="49"/>
      <c r="W32" s="49"/>
      <c r="X32" s="49"/>
      <c r="Y32" s="49"/>
      <c r="Z32" s="49"/>
      <c r="AA32" s="63"/>
      <c r="AB32" s="63"/>
      <c r="AC32" s="49">
        <f t="shared" si="1"/>
        <v>0</v>
      </c>
    </row>
    <row r="33" spans="1:32">
      <c r="A33" s="54"/>
      <c r="B33" s="149" t="s">
        <v>138</v>
      </c>
      <c r="C33" s="4"/>
      <c r="D33" s="4"/>
      <c r="E33" s="4"/>
      <c r="F33" s="4"/>
      <c r="G33" s="52"/>
      <c r="H33" s="52"/>
      <c r="I33" s="132">
        <v>1</v>
      </c>
      <c r="J33" s="133" t="s">
        <v>30</v>
      </c>
      <c r="K33" s="64" t="s">
        <v>27</v>
      </c>
      <c r="L33" s="134">
        <v>12</v>
      </c>
      <c r="M33" s="135" t="s">
        <v>41</v>
      </c>
      <c r="N33" s="48" t="s">
        <v>27</v>
      </c>
      <c r="O33" s="48" t="s">
        <v>28</v>
      </c>
      <c r="P33" s="212">
        <v>1800000</v>
      </c>
      <c r="Q33" s="63"/>
      <c r="R33" s="70"/>
      <c r="S33" s="70"/>
      <c r="T33" s="49"/>
      <c r="U33" s="49">
        <f t="shared" ref="U33:U36" si="2">P33*L33*I33</f>
        <v>21600000</v>
      </c>
      <c r="V33" s="49"/>
      <c r="W33" s="49"/>
      <c r="X33" s="49"/>
      <c r="Y33" s="49"/>
      <c r="Z33" s="49"/>
      <c r="AA33" s="63"/>
      <c r="AB33" s="63"/>
      <c r="AC33" s="49">
        <f t="shared" si="1"/>
        <v>21600000</v>
      </c>
      <c r="AD33" s="34">
        <f>SUM(AC33:AC39)</f>
        <v>1520400000</v>
      </c>
    </row>
    <row r="34" spans="1:32">
      <c r="A34" s="54"/>
      <c r="B34" s="149" t="s">
        <v>169</v>
      </c>
      <c r="C34" s="4"/>
      <c r="D34" s="4"/>
      <c r="E34" s="4"/>
      <c r="F34" s="4"/>
      <c r="G34" s="52"/>
      <c r="H34" s="52"/>
      <c r="I34" s="132">
        <v>1</v>
      </c>
      <c r="J34" s="133" t="s">
        <v>30</v>
      </c>
      <c r="K34" s="64" t="s">
        <v>27</v>
      </c>
      <c r="L34" s="134">
        <v>12</v>
      </c>
      <c r="M34" s="135" t="s">
        <v>41</v>
      </c>
      <c r="N34" s="48" t="s">
        <v>27</v>
      </c>
      <c r="O34" s="48" t="s">
        <v>28</v>
      </c>
      <c r="P34" s="212">
        <v>1700000</v>
      </c>
      <c r="Q34" s="63"/>
      <c r="R34" s="70"/>
      <c r="S34" s="70"/>
      <c r="T34" s="49"/>
      <c r="U34" s="49">
        <f t="shared" si="2"/>
        <v>20400000</v>
      </c>
      <c r="V34" s="49"/>
      <c r="W34" s="49"/>
      <c r="X34" s="49"/>
      <c r="Y34" s="49"/>
      <c r="Z34" s="49"/>
      <c r="AA34" s="63"/>
      <c r="AB34" s="63"/>
      <c r="AC34" s="49">
        <f t="shared" si="1"/>
        <v>20400000</v>
      </c>
    </row>
    <row r="35" spans="1:32">
      <c r="A35" s="54"/>
      <c r="B35" s="149" t="s">
        <v>139</v>
      </c>
      <c r="C35" s="4"/>
      <c r="D35" s="4"/>
      <c r="E35" s="4"/>
      <c r="F35" s="4"/>
      <c r="G35" s="52"/>
      <c r="H35" s="52"/>
      <c r="I35" s="132">
        <v>6</v>
      </c>
      <c r="J35" s="133" t="s">
        <v>30</v>
      </c>
      <c r="K35" s="64" t="s">
        <v>27</v>
      </c>
      <c r="L35" s="134">
        <v>12</v>
      </c>
      <c r="M35" s="135" t="s">
        <v>41</v>
      </c>
      <c r="N35" s="48" t="s">
        <v>27</v>
      </c>
      <c r="O35" s="48" t="s">
        <v>28</v>
      </c>
      <c r="P35" s="212">
        <v>1800000</v>
      </c>
      <c r="Q35" s="63"/>
      <c r="R35" s="70"/>
      <c r="S35" s="70"/>
      <c r="T35" s="49"/>
      <c r="U35" s="49">
        <f t="shared" si="2"/>
        <v>129600000</v>
      </c>
      <c r="V35" s="49"/>
      <c r="W35" s="49"/>
      <c r="X35" s="49"/>
      <c r="Y35" s="49"/>
      <c r="Z35" s="49"/>
      <c r="AA35" s="63"/>
      <c r="AB35" s="63"/>
      <c r="AC35" s="49">
        <f t="shared" si="1"/>
        <v>129600000</v>
      </c>
    </row>
    <row r="36" spans="1:32">
      <c r="A36" s="54"/>
      <c r="B36" s="149" t="s">
        <v>140</v>
      </c>
      <c r="C36" s="4"/>
      <c r="D36" s="4"/>
      <c r="E36" s="4"/>
      <c r="F36" s="4"/>
      <c r="G36" s="52"/>
      <c r="H36" s="52"/>
      <c r="I36" s="132">
        <v>2</v>
      </c>
      <c r="J36" s="133" t="s">
        <v>30</v>
      </c>
      <c r="K36" s="64" t="s">
        <v>27</v>
      </c>
      <c r="L36" s="134">
        <v>12</v>
      </c>
      <c r="M36" s="135" t="s">
        <v>41</v>
      </c>
      <c r="N36" s="48" t="s">
        <v>27</v>
      </c>
      <c r="O36" s="48" t="s">
        <v>28</v>
      </c>
      <c r="P36" s="212">
        <v>1700000</v>
      </c>
      <c r="Q36" s="63"/>
      <c r="R36" s="70"/>
      <c r="S36" s="70"/>
      <c r="T36" s="49"/>
      <c r="U36" s="49">
        <f t="shared" si="2"/>
        <v>40800000</v>
      </c>
      <c r="V36" s="49"/>
      <c r="W36" s="49"/>
      <c r="X36" s="49"/>
      <c r="Y36" s="49"/>
      <c r="Z36" s="49"/>
      <c r="AA36" s="63"/>
      <c r="AB36" s="63"/>
      <c r="AC36" s="49">
        <f t="shared" si="1"/>
        <v>40800000</v>
      </c>
    </row>
    <row r="37" spans="1:32">
      <c r="A37" s="54"/>
      <c r="B37" s="149" t="s">
        <v>488</v>
      </c>
      <c r="C37" s="4"/>
      <c r="D37" s="4"/>
      <c r="E37" s="4"/>
      <c r="F37" s="4"/>
      <c r="G37" s="52"/>
      <c r="H37" s="52"/>
      <c r="I37" s="132">
        <v>4</v>
      </c>
      <c r="J37" s="133" t="s">
        <v>30</v>
      </c>
      <c r="K37" s="64" t="s">
        <v>27</v>
      </c>
      <c r="L37" s="134">
        <v>12</v>
      </c>
      <c r="M37" s="135" t="s">
        <v>41</v>
      </c>
      <c r="N37" s="48" t="s">
        <v>27</v>
      </c>
      <c r="O37" s="48" t="s">
        <v>28</v>
      </c>
      <c r="P37" s="212">
        <v>1800000</v>
      </c>
      <c r="Q37" s="63"/>
      <c r="R37" s="70"/>
      <c r="S37" s="70"/>
      <c r="T37" s="49"/>
      <c r="U37" s="49">
        <f t="shared" ref="U37" si="3">P37*L37*I37</f>
        <v>86400000</v>
      </c>
      <c r="V37" s="49"/>
      <c r="W37" s="49"/>
      <c r="X37" s="49"/>
      <c r="Y37" s="49"/>
      <c r="Z37" s="49"/>
      <c r="AA37" s="63"/>
      <c r="AB37" s="63"/>
      <c r="AC37" s="49">
        <f t="shared" ref="AC37:AC40" si="4">SUM(Q37:AB37)</f>
        <v>86400000</v>
      </c>
    </row>
    <row r="38" spans="1:32">
      <c r="A38" s="54"/>
      <c r="B38" s="149" t="s">
        <v>497</v>
      </c>
      <c r="C38" s="4"/>
      <c r="D38" s="4"/>
      <c r="E38" s="4"/>
      <c r="F38" s="4"/>
      <c r="G38" s="52"/>
      <c r="H38" s="52"/>
      <c r="I38" s="132">
        <v>1</v>
      </c>
      <c r="J38" s="133" t="s">
        <v>30</v>
      </c>
      <c r="K38" s="64" t="s">
        <v>27</v>
      </c>
      <c r="L38" s="134">
        <v>12</v>
      </c>
      <c r="M38" s="135" t="s">
        <v>41</v>
      </c>
      <c r="N38" s="48" t="s">
        <v>27</v>
      </c>
      <c r="O38" s="48" t="s">
        <v>28</v>
      </c>
      <c r="P38" s="212">
        <v>1800000</v>
      </c>
      <c r="Q38" s="63"/>
      <c r="R38" s="70"/>
      <c r="S38" s="70"/>
      <c r="T38" s="49"/>
      <c r="U38" s="49">
        <f t="shared" ref="U38:U39" si="5">P38*L38*I38</f>
        <v>21600000</v>
      </c>
      <c r="V38" s="49"/>
      <c r="W38" s="49"/>
      <c r="X38" s="49"/>
      <c r="Y38" s="49"/>
      <c r="Z38" s="49"/>
      <c r="AA38" s="63"/>
      <c r="AB38" s="63"/>
      <c r="AC38" s="49">
        <f t="shared" ref="AC38:AC39" si="6">SUM(Q38:AB38)</f>
        <v>21600000</v>
      </c>
    </row>
    <row r="39" spans="1:32">
      <c r="A39" s="54"/>
      <c r="B39" s="384" t="s">
        <v>540</v>
      </c>
      <c r="C39" s="4"/>
      <c r="D39" s="4"/>
      <c r="E39" s="47"/>
      <c r="F39" s="182"/>
      <c r="G39" s="286"/>
      <c r="H39" s="4"/>
      <c r="I39" s="59">
        <v>100</v>
      </c>
      <c r="J39" s="60" t="s">
        <v>30</v>
      </c>
      <c r="K39" s="61" t="s">
        <v>27</v>
      </c>
      <c r="L39" s="59">
        <v>12</v>
      </c>
      <c r="M39" s="60" t="s">
        <v>41</v>
      </c>
      <c r="N39" s="61" t="s">
        <v>27</v>
      </c>
      <c r="O39" s="60" t="s">
        <v>28</v>
      </c>
      <c r="P39" s="62">
        <v>1000000</v>
      </c>
      <c r="Q39" s="63"/>
      <c r="R39" s="63"/>
      <c r="S39" s="49"/>
      <c r="T39" s="49"/>
      <c r="U39" s="49">
        <f t="shared" si="5"/>
        <v>1200000000</v>
      </c>
      <c r="V39" s="49"/>
      <c r="W39" s="49"/>
      <c r="X39" s="49"/>
      <c r="Y39" s="34"/>
      <c r="Z39" s="171"/>
      <c r="AA39" s="171"/>
      <c r="AB39" s="171"/>
      <c r="AC39" s="49">
        <f t="shared" si="6"/>
        <v>1200000000</v>
      </c>
      <c r="AD39" s="29"/>
    </row>
    <row r="40" spans="1:32">
      <c r="A40" s="54"/>
      <c r="B40" s="55" t="s">
        <v>86</v>
      </c>
      <c r="C40" s="4"/>
      <c r="D40" s="4"/>
      <c r="E40" s="4"/>
      <c r="F40" s="4"/>
      <c r="G40" s="52"/>
      <c r="H40" s="52"/>
      <c r="I40" s="47"/>
      <c r="J40" s="48"/>
      <c r="K40" s="64"/>
      <c r="L40" s="47"/>
      <c r="M40" s="48"/>
      <c r="N40" s="64"/>
      <c r="O40" s="48"/>
      <c r="P40" s="47"/>
      <c r="Q40" s="63"/>
      <c r="R40" s="70"/>
      <c r="S40" s="70"/>
      <c r="T40" s="49"/>
      <c r="U40" s="49"/>
      <c r="V40" s="49"/>
      <c r="W40" s="49"/>
      <c r="X40" s="49"/>
      <c r="Y40" s="49"/>
      <c r="Z40" s="49"/>
      <c r="AA40" s="63"/>
      <c r="AB40" s="63"/>
      <c r="AC40" s="49">
        <f t="shared" si="4"/>
        <v>0</v>
      </c>
    </row>
    <row r="41" spans="1:32">
      <c r="A41" s="54"/>
      <c r="B41" s="110" t="s">
        <v>142</v>
      </c>
      <c r="C41" s="4"/>
      <c r="D41" s="4"/>
      <c r="E41" s="4"/>
      <c r="F41" s="4"/>
      <c r="G41" s="52"/>
      <c r="H41" s="52"/>
      <c r="I41" s="132">
        <v>1</v>
      </c>
      <c r="J41" s="133" t="s">
        <v>91</v>
      </c>
      <c r="K41" s="64" t="s">
        <v>27</v>
      </c>
      <c r="L41" s="134">
        <v>1</v>
      </c>
      <c r="M41" s="135" t="s">
        <v>26</v>
      </c>
      <c r="N41" s="48" t="s">
        <v>27</v>
      </c>
      <c r="O41" s="48" t="s">
        <v>28</v>
      </c>
      <c r="P41" s="47">
        <v>5000000</v>
      </c>
      <c r="Q41" s="63"/>
      <c r="R41" s="70"/>
      <c r="S41" s="70"/>
      <c r="T41" s="49"/>
      <c r="U41" s="49"/>
      <c r="V41" s="49"/>
      <c r="W41" s="49">
        <f>P41*L41*I41</f>
        <v>5000000</v>
      </c>
      <c r="X41" s="49"/>
      <c r="Y41" s="49"/>
      <c r="Z41" s="49"/>
      <c r="AA41" s="63"/>
      <c r="AB41" s="63"/>
      <c r="AC41" s="49">
        <f>SUM(Q41:AB41)</f>
        <v>5000000</v>
      </c>
    </row>
    <row r="42" spans="1:32">
      <c r="A42" s="54"/>
      <c r="B42" s="110"/>
      <c r="C42" s="4"/>
      <c r="D42" s="4"/>
      <c r="E42" s="4"/>
      <c r="F42" s="4"/>
      <c r="G42" s="52"/>
      <c r="H42" s="52"/>
      <c r="I42" s="132"/>
      <c r="J42" s="133"/>
      <c r="K42" s="64"/>
      <c r="L42" s="134"/>
      <c r="M42" s="135"/>
      <c r="N42" s="48"/>
      <c r="O42" s="48"/>
      <c r="P42" s="47"/>
      <c r="Q42" s="63"/>
      <c r="R42" s="70"/>
      <c r="S42" s="70"/>
      <c r="T42" s="49"/>
      <c r="U42" s="49"/>
      <c r="V42" s="49"/>
      <c r="W42" s="49"/>
      <c r="X42" s="49"/>
      <c r="Y42" s="49"/>
      <c r="Z42" s="49"/>
      <c r="AA42" s="63"/>
      <c r="AB42" s="63"/>
      <c r="AC42" s="49"/>
    </row>
    <row r="43" spans="1:32">
      <c r="A43" s="54" t="s">
        <v>196</v>
      </c>
      <c r="B43" s="122" t="s">
        <v>144</v>
      </c>
      <c r="C43" s="4"/>
      <c r="D43" s="4"/>
      <c r="E43" s="4"/>
      <c r="F43" s="4"/>
      <c r="G43" s="52"/>
      <c r="H43" s="52"/>
      <c r="I43" s="47"/>
      <c r="J43" s="48"/>
      <c r="K43" s="64"/>
      <c r="L43" s="47"/>
      <c r="M43" s="48"/>
      <c r="N43" s="64"/>
      <c r="O43" s="48"/>
      <c r="P43" s="47"/>
      <c r="Q43" s="63"/>
      <c r="R43" s="70"/>
      <c r="S43" s="70"/>
      <c r="T43" s="49"/>
      <c r="U43" s="49"/>
      <c r="V43" s="49"/>
      <c r="W43" s="49"/>
      <c r="X43" s="49"/>
      <c r="Y43" s="49"/>
      <c r="Z43" s="49"/>
      <c r="AA43" s="63"/>
      <c r="AB43" s="63"/>
      <c r="AC43" s="49">
        <f t="shared" ref="AC43:AC44" si="7">SUM(Q43:AB43)</f>
        <v>0</v>
      </c>
      <c r="AD43" s="34">
        <f>SUM(AC44:AC51)</f>
        <v>90000000</v>
      </c>
    </row>
    <row r="44" spans="1:32">
      <c r="A44" s="54"/>
      <c r="B44" s="122" t="s">
        <v>146</v>
      </c>
      <c r="C44" s="4"/>
      <c r="D44" s="4"/>
      <c r="E44" s="4"/>
      <c r="F44" s="4"/>
      <c r="G44" s="52"/>
      <c r="H44" s="52"/>
      <c r="I44" s="47"/>
      <c r="J44" s="48"/>
      <c r="K44" s="64"/>
      <c r="L44" s="47"/>
      <c r="M44" s="48"/>
      <c r="N44" s="64"/>
      <c r="O44" s="48"/>
      <c r="P44" s="47" t="s">
        <v>292</v>
      </c>
      <c r="Q44" s="63"/>
      <c r="R44" s="70"/>
      <c r="S44" s="70"/>
      <c r="T44" s="49"/>
      <c r="U44" s="49"/>
      <c r="V44" s="49"/>
      <c r="W44" s="49"/>
      <c r="X44" s="49"/>
      <c r="Y44" s="49"/>
      <c r="Z44" s="49"/>
      <c r="AA44" s="63"/>
      <c r="AB44" s="63"/>
      <c r="AC44" s="49">
        <f t="shared" si="7"/>
        <v>0</v>
      </c>
    </row>
    <row r="45" spans="1:32">
      <c r="A45" s="54"/>
      <c r="B45" s="121" t="s">
        <v>149</v>
      </c>
      <c r="C45" s="4"/>
      <c r="D45" s="4"/>
      <c r="E45" s="4"/>
      <c r="F45" s="4"/>
      <c r="G45" s="52"/>
      <c r="H45" s="52"/>
      <c r="I45" s="132">
        <v>12</v>
      </c>
      <c r="J45" s="133" t="s">
        <v>41</v>
      </c>
      <c r="K45" s="64" t="s">
        <v>27</v>
      </c>
      <c r="L45" s="134">
        <v>1</v>
      </c>
      <c r="M45" s="135" t="s">
        <v>26</v>
      </c>
      <c r="N45" s="48" t="s">
        <v>27</v>
      </c>
      <c r="O45" s="48" t="s">
        <v>28</v>
      </c>
      <c r="P45" s="47">
        <v>3500000</v>
      </c>
      <c r="Q45" s="63"/>
      <c r="R45" s="70"/>
      <c r="S45" s="70"/>
      <c r="T45" s="49"/>
      <c r="U45" s="49"/>
      <c r="V45" s="49"/>
      <c r="W45" s="49"/>
      <c r="X45" s="49">
        <f>P45*I45</f>
        <v>42000000</v>
      </c>
      <c r="Y45" s="49"/>
      <c r="Z45" s="49"/>
      <c r="AA45" s="63"/>
      <c r="AB45" s="63"/>
      <c r="AC45" s="49">
        <f>SUM(Q45:AB45)</f>
        <v>42000000</v>
      </c>
    </row>
    <row r="46" spans="1:32">
      <c r="A46" s="54"/>
      <c r="B46" s="122" t="s">
        <v>147</v>
      </c>
      <c r="C46" s="4"/>
      <c r="D46" s="4"/>
      <c r="E46" s="4"/>
      <c r="F46" s="4"/>
      <c r="G46" s="52"/>
      <c r="H46" s="52"/>
      <c r="I46" s="47"/>
      <c r="J46" s="48"/>
      <c r="K46" s="64"/>
      <c r="L46" s="47"/>
      <c r="M46" s="48"/>
      <c r="N46" s="64"/>
      <c r="O46" s="48"/>
      <c r="P46" s="47"/>
      <c r="Q46" s="63"/>
      <c r="R46" s="70"/>
      <c r="S46" s="70"/>
      <c r="T46" s="49"/>
      <c r="U46" s="49"/>
      <c r="V46" s="49"/>
      <c r="W46" s="49"/>
      <c r="X46" s="49"/>
      <c r="Y46" s="49"/>
      <c r="Z46" s="49"/>
      <c r="AA46" s="63"/>
      <c r="AB46" s="63"/>
      <c r="AC46" s="49">
        <f t="shared" ref="AC46" si="8">SUM(Q46:AB46)</f>
        <v>0</v>
      </c>
    </row>
    <row r="47" spans="1:32">
      <c r="A47" s="54"/>
      <c r="B47" s="121" t="s">
        <v>150</v>
      </c>
      <c r="C47" s="4"/>
      <c r="D47" s="4"/>
      <c r="E47" s="4"/>
      <c r="F47" s="4"/>
      <c r="G47" s="52"/>
      <c r="H47" s="52"/>
      <c r="I47" s="132">
        <v>12</v>
      </c>
      <c r="J47" s="133" t="s">
        <v>41</v>
      </c>
      <c r="K47" s="64" t="s">
        <v>27</v>
      </c>
      <c r="L47" s="134">
        <v>1</v>
      </c>
      <c r="M47" s="135" t="s">
        <v>26</v>
      </c>
      <c r="N47" s="48" t="s">
        <v>27</v>
      </c>
      <c r="O47" s="48" t="s">
        <v>28</v>
      </c>
      <c r="P47" s="47">
        <v>2000000</v>
      </c>
      <c r="Q47" s="63"/>
      <c r="R47" s="70"/>
      <c r="S47" s="70"/>
      <c r="T47" s="49"/>
      <c r="U47" s="49"/>
      <c r="V47" s="49"/>
      <c r="W47" s="49"/>
      <c r="X47" s="49"/>
      <c r="Y47" s="49">
        <f>P47*I47</f>
        <v>24000000</v>
      </c>
      <c r="Z47" s="49"/>
      <c r="AA47" s="63"/>
      <c r="AB47" s="63"/>
      <c r="AC47" s="49">
        <f>SUM(Q47:AB47)</f>
        <v>24000000</v>
      </c>
      <c r="AF47" s="29">
        <f>1750000</f>
        <v>1750000</v>
      </c>
    </row>
    <row r="48" spans="1:32">
      <c r="A48" s="54"/>
      <c r="B48" s="122" t="s">
        <v>148</v>
      </c>
      <c r="C48" s="4"/>
      <c r="D48" s="4"/>
      <c r="E48" s="4"/>
      <c r="F48" s="4"/>
      <c r="G48" s="52"/>
      <c r="H48" s="52"/>
      <c r="I48" s="47"/>
      <c r="J48" s="48"/>
      <c r="K48" s="64"/>
      <c r="L48" s="47"/>
      <c r="M48" s="48"/>
      <c r="N48" s="64"/>
      <c r="O48" s="48"/>
      <c r="P48" s="47"/>
      <c r="Q48" s="63"/>
      <c r="R48" s="70"/>
      <c r="S48" s="70"/>
      <c r="T48" s="49"/>
      <c r="U48" s="49"/>
      <c r="V48" s="49"/>
      <c r="W48" s="49"/>
      <c r="X48" s="49"/>
      <c r="Y48" s="49"/>
      <c r="Z48" s="49"/>
      <c r="AA48" s="63"/>
      <c r="AB48" s="63"/>
      <c r="AC48" s="49">
        <f t="shared" ref="AC48" si="9">SUM(Q48:AB48)</f>
        <v>0</v>
      </c>
      <c r="AF48" s="29">
        <f>1500000/3</f>
        <v>500000</v>
      </c>
    </row>
    <row r="49" spans="1:32">
      <c r="A49" s="54"/>
      <c r="B49" s="121" t="s">
        <v>151</v>
      </c>
      <c r="C49" s="4"/>
      <c r="D49" s="4"/>
      <c r="E49" s="4"/>
      <c r="F49" s="4"/>
      <c r="G49" s="52"/>
      <c r="H49" s="52"/>
      <c r="I49" s="132">
        <v>12</v>
      </c>
      <c r="J49" s="133" t="s">
        <v>41</v>
      </c>
      <c r="K49" s="64" t="s">
        <v>27</v>
      </c>
      <c r="L49" s="134">
        <v>1</v>
      </c>
      <c r="M49" s="135" t="s">
        <v>26</v>
      </c>
      <c r="N49" s="48" t="s">
        <v>27</v>
      </c>
      <c r="O49" s="48" t="s">
        <v>28</v>
      </c>
      <c r="P49" s="47">
        <v>1000000</v>
      </c>
      <c r="Q49" s="63"/>
      <c r="R49" s="70"/>
      <c r="S49" s="70"/>
      <c r="T49" s="49"/>
      <c r="U49" s="49"/>
      <c r="V49" s="49"/>
      <c r="W49" s="49"/>
      <c r="X49" s="49"/>
      <c r="Y49" s="49"/>
      <c r="Z49" s="49">
        <f>P49*I49</f>
        <v>12000000</v>
      </c>
      <c r="AA49" s="63"/>
      <c r="AB49" s="63"/>
      <c r="AC49" s="49">
        <f>SUM(Q49:AB49)</f>
        <v>12000000</v>
      </c>
    </row>
    <row r="50" spans="1:32">
      <c r="A50" s="54"/>
      <c r="B50" s="122" t="s">
        <v>145</v>
      </c>
      <c r="C50" s="4"/>
      <c r="D50" s="4"/>
      <c r="E50" s="4"/>
      <c r="F50" s="4"/>
      <c r="G50" s="52"/>
      <c r="H50" s="52"/>
      <c r="I50" s="47"/>
      <c r="J50" s="48"/>
      <c r="K50" s="64"/>
      <c r="L50" s="47"/>
      <c r="M50" s="48"/>
      <c r="N50" s="64"/>
      <c r="O50" s="48"/>
      <c r="P50" s="47"/>
      <c r="Q50" s="63"/>
      <c r="R50" s="70"/>
      <c r="S50" s="70"/>
      <c r="T50" s="49"/>
      <c r="U50" s="49"/>
      <c r="V50" s="49"/>
      <c r="W50" s="49"/>
      <c r="X50" s="49"/>
      <c r="Y50" s="49"/>
      <c r="Z50" s="49"/>
      <c r="AA50" s="63"/>
      <c r="AB50" s="63"/>
      <c r="AC50" s="49">
        <f t="shared" ref="AC50:AC51" si="10">SUM(Q50:AB50)</f>
        <v>0</v>
      </c>
    </row>
    <row r="51" spans="1:32">
      <c r="A51" s="54"/>
      <c r="B51" s="121" t="s">
        <v>152</v>
      </c>
      <c r="C51" s="4"/>
      <c r="D51" s="4"/>
      <c r="E51" s="4"/>
      <c r="F51" s="4"/>
      <c r="G51" s="52"/>
      <c r="H51" s="52"/>
      <c r="I51" s="132">
        <v>12</v>
      </c>
      <c r="J51" s="133" t="s">
        <v>41</v>
      </c>
      <c r="K51" s="64" t="s">
        <v>27</v>
      </c>
      <c r="L51" s="134">
        <v>1</v>
      </c>
      <c r="M51" s="135" t="s">
        <v>26</v>
      </c>
      <c r="N51" s="48" t="s">
        <v>27</v>
      </c>
      <c r="O51" s="48" t="s">
        <v>28</v>
      </c>
      <c r="P51" s="47">
        <v>1000000</v>
      </c>
      <c r="Q51" s="63"/>
      <c r="R51" s="70"/>
      <c r="S51" s="70"/>
      <c r="T51" s="49"/>
      <c r="U51" s="49"/>
      <c r="V51" s="49"/>
      <c r="W51" s="49"/>
      <c r="X51" s="49"/>
      <c r="Y51" s="49"/>
      <c r="Z51" s="49"/>
      <c r="AA51" s="63">
        <f>P51*I51*L51</f>
        <v>12000000</v>
      </c>
      <c r="AB51" s="63"/>
      <c r="AC51" s="49">
        <f t="shared" si="10"/>
        <v>12000000</v>
      </c>
    </row>
    <row r="52" spans="1:32">
      <c r="A52" s="54"/>
      <c r="B52" s="10"/>
      <c r="C52" s="10"/>
      <c r="D52" s="10"/>
      <c r="E52" s="77"/>
      <c r="F52" s="77"/>
      <c r="G52" s="77"/>
      <c r="H52" s="11"/>
      <c r="I52" s="77"/>
      <c r="J52" s="11"/>
      <c r="K52" s="11"/>
      <c r="L52" s="77"/>
      <c r="M52" s="11"/>
      <c r="N52" s="11"/>
      <c r="O52" s="11"/>
      <c r="P52" s="77"/>
      <c r="Q52" s="63"/>
      <c r="R52" s="63"/>
      <c r="S52" s="63"/>
      <c r="T52" s="65"/>
      <c r="U52" s="65"/>
      <c r="V52" s="65"/>
      <c r="W52" s="65"/>
      <c r="X52" s="65"/>
      <c r="Y52" s="65"/>
      <c r="Z52" s="65"/>
      <c r="AA52" s="65"/>
      <c r="AB52" s="65"/>
      <c r="AC52" s="49">
        <f t="shared" ref="AC52" si="11">SUM(Q52:AB52)</f>
        <v>0</v>
      </c>
    </row>
    <row r="53" spans="1:32" s="124" customFormat="1">
      <c r="A53" s="66" t="s">
        <v>203</v>
      </c>
      <c r="B53" s="113" t="s">
        <v>93</v>
      </c>
      <c r="C53" s="7"/>
      <c r="D53" s="7"/>
      <c r="E53" s="7"/>
      <c r="F53" s="7"/>
      <c r="G53" s="7"/>
      <c r="H53" s="7"/>
      <c r="I53" s="125"/>
      <c r="J53" s="125"/>
      <c r="K53" s="125"/>
      <c r="L53" s="7"/>
      <c r="M53" s="92"/>
      <c r="N53" s="92"/>
      <c r="O53" s="92"/>
      <c r="P53" s="7"/>
      <c r="Q53" s="70"/>
      <c r="R53" s="70"/>
      <c r="S53" s="70"/>
      <c r="T53" s="49"/>
      <c r="U53" s="49"/>
      <c r="V53" s="49"/>
      <c r="W53" s="49"/>
      <c r="X53" s="49"/>
      <c r="Y53" s="49"/>
      <c r="Z53" s="49"/>
      <c r="AA53" s="71"/>
      <c r="AB53" s="71"/>
      <c r="AC53" s="71">
        <f>P53*L53*I53</f>
        <v>0</v>
      </c>
      <c r="AD53" s="400">
        <f>SUM(AC55:AC65)</f>
        <v>94770000</v>
      </c>
      <c r="AE53" s="109"/>
      <c r="AF53" s="108"/>
    </row>
    <row r="54" spans="1:32">
      <c r="A54" s="54"/>
      <c r="B54" s="55" t="s">
        <v>98</v>
      </c>
      <c r="C54" s="4"/>
      <c r="D54" s="4"/>
      <c r="E54" s="47"/>
      <c r="F54" s="4"/>
      <c r="G54" s="4"/>
      <c r="H54" s="4"/>
      <c r="I54" s="47"/>
      <c r="J54" s="48"/>
      <c r="K54" s="48"/>
      <c r="L54" s="47"/>
      <c r="M54" s="48"/>
      <c r="N54" s="48"/>
      <c r="O54" s="48"/>
      <c r="P54" s="47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8"/>
    </row>
    <row r="55" spans="1:32">
      <c r="A55" s="54"/>
      <c r="B55" s="120" t="s">
        <v>99</v>
      </c>
      <c r="C55" s="4"/>
      <c r="D55" s="4"/>
      <c r="E55" s="47"/>
      <c r="F55" s="4"/>
      <c r="G55" s="4"/>
      <c r="H55" s="4"/>
      <c r="I55" s="114" t="s">
        <v>104</v>
      </c>
      <c r="J55" s="48" t="s">
        <v>47</v>
      </c>
      <c r="K55" s="48" t="s">
        <v>27</v>
      </c>
      <c r="L55" s="47">
        <v>1</v>
      </c>
      <c r="M55" s="48" t="s">
        <v>91</v>
      </c>
      <c r="N55" s="48" t="s">
        <v>27</v>
      </c>
      <c r="O55" s="48" t="s">
        <v>28</v>
      </c>
      <c r="P55" s="180">
        <v>1500000</v>
      </c>
      <c r="Q55" s="49"/>
      <c r="R55" s="49">
        <f>P55*I55*L55</f>
        <v>4500000</v>
      </c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>
        <f t="shared" ref="AC55:AC64" si="12">SUM(Q55:AB55)</f>
        <v>4500000</v>
      </c>
      <c r="AD55" s="34">
        <f>SUM(AC55:AC63)</f>
        <v>79770000</v>
      </c>
    </row>
    <row r="56" spans="1:32" s="124" customFormat="1">
      <c r="A56" s="66"/>
      <c r="B56" s="120" t="s">
        <v>94</v>
      </c>
      <c r="C56" s="4"/>
      <c r="D56" s="4"/>
      <c r="E56" s="47"/>
      <c r="F56" s="4"/>
      <c r="G56" s="4"/>
      <c r="H56" s="4"/>
      <c r="I56" s="114" t="s">
        <v>100</v>
      </c>
      <c r="J56" s="48" t="s">
        <v>47</v>
      </c>
      <c r="K56" s="48" t="s">
        <v>27</v>
      </c>
      <c r="L56" s="47">
        <v>1</v>
      </c>
      <c r="M56" s="48" t="s">
        <v>91</v>
      </c>
      <c r="N56" s="48" t="s">
        <v>27</v>
      </c>
      <c r="O56" s="48" t="s">
        <v>28</v>
      </c>
      <c r="P56" s="180">
        <v>15000000</v>
      </c>
      <c r="Q56" s="63"/>
      <c r="R56" s="49">
        <f>P56*I56*L56</f>
        <v>30000000</v>
      </c>
      <c r="S56" s="49"/>
      <c r="T56" s="49"/>
      <c r="U56" s="49"/>
      <c r="V56" s="49"/>
      <c r="W56" s="49"/>
      <c r="X56" s="49"/>
      <c r="Y56" s="49"/>
      <c r="Z56" s="49"/>
      <c r="AA56" s="71"/>
      <c r="AB56" s="71"/>
      <c r="AC56" s="49">
        <f t="shared" si="12"/>
        <v>30000000</v>
      </c>
      <c r="AD56" s="108"/>
    </row>
    <row r="57" spans="1:32">
      <c r="A57" s="54"/>
      <c r="B57" s="120" t="s">
        <v>608</v>
      </c>
      <c r="C57" s="4"/>
      <c r="D57" s="4"/>
      <c r="E57" s="47"/>
      <c r="F57" s="4"/>
      <c r="G57" s="4"/>
      <c r="H57" s="4"/>
      <c r="I57" s="114" t="s">
        <v>22</v>
      </c>
      <c r="J57" s="48" t="s">
        <v>47</v>
      </c>
      <c r="K57" s="48" t="s">
        <v>27</v>
      </c>
      <c r="L57" s="47">
        <v>1</v>
      </c>
      <c r="M57" s="48" t="s">
        <v>91</v>
      </c>
      <c r="N57" s="48" t="s">
        <v>27</v>
      </c>
      <c r="O57" s="48" t="s">
        <v>28</v>
      </c>
      <c r="P57" s="180">
        <v>1000000</v>
      </c>
      <c r="Q57" s="49"/>
      <c r="R57" s="49">
        <f>P57*I57*L57</f>
        <v>4000000</v>
      </c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>
        <f t="shared" ref="AC57" si="13">SUM(Q57:AB57)</f>
        <v>4000000</v>
      </c>
      <c r="AD57" s="34">
        <f>SUM(AC57:AC65)</f>
        <v>60270000</v>
      </c>
    </row>
    <row r="58" spans="1:32" s="124" customFormat="1">
      <c r="A58" s="66"/>
      <c r="B58" s="120" t="s">
        <v>566</v>
      </c>
      <c r="C58" s="4"/>
      <c r="D58" s="4"/>
      <c r="E58" s="47"/>
      <c r="F58" s="4"/>
      <c r="G58" s="4"/>
      <c r="H58" s="4"/>
      <c r="I58" s="114" t="s">
        <v>21</v>
      </c>
      <c r="J58" s="48" t="s">
        <v>47</v>
      </c>
      <c r="K58" s="48" t="s">
        <v>27</v>
      </c>
      <c r="L58" s="47">
        <v>1</v>
      </c>
      <c r="M58" s="48" t="s">
        <v>91</v>
      </c>
      <c r="N58" s="48" t="s">
        <v>27</v>
      </c>
      <c r="O58" s="48" t="s">
        <v>28</v>
      </c>
      <c r="P58" s="180">
        <v>7500000</v>
      </c>
      <c r="Q58" s="63"/>
      <c r="R58" s="49">
        <f>P58*I58*L58</f>
        <v>7500000</v>
      </c>
      <c r="S58" s="49"/>
      <c r="T58" s="49"/>
      <c r="U58" s="49"/>
      <c r="V58" s="49"/>
      <c r="W58" s="49"/>
      <c r="X58" s="49"/>
      <c r="Y58" s="49"/>
      <c r="Z58" s="49"/>
      <c r="AA58" s="71"/>
      <c r="AB58" s="71"/>
      <c r="AC58" s="49">
        <f t="shared" ref="AC58" si="14">SUM(Q58:AB58)</f>
        <v>7500000</v>
      </c>
      <c r="AD58" s="108"/>
    </row>
    <row r="59" spans="1:32" s="124" customFormat="1">
      <c r="A59" s="66"/>
      <c r="B59" s="120" t="s">
        <v>95</v>
      </c>
      <c r="C59" s="4"/>
      <c r="D59" s="4"/>
      <c r="E59" s="47"/>
      <c r="F59" s="4"/>
      <c r="G59" s="4"/>
      <c r="H59" s="4"/>
      <c r="I59" s="114" t="s">
        <v>541</v>
      </c>
      <c r="J59" s="48" t="s">
        <v>47</v>
      </c>
      <c r="K59" s="48" t="s">
        <v>27</v>
      </c>
      <c r="L59" s="47">
        <v>1</v>
      </c>
      <c r="M59" s="48" t="s">
        <v>91</v>
      </c>
      <c r="N59" s="48" t="s">
        <v>27</v>
      </c>
      <c r="O59" s="48" t="s">
        <v>28</v>
      </c>
      <c r="P59" s="180">
        <v>630000</v>
      </c>
      <c r="Q59" s="63"/>
      <c r="R59" s="70">
        <f>P59*L59*I59</f>
        <v>6300000</v>
      </c>
      <c r="S59" s="70"/>
      <c r="T59" s="49"/>
      <c r="U59" s="49"/>
      <c r="V59" s="49"/>
      <c r="W59" s="49"/>
      <c r="X59" s="49"/>
      <c r="Y59" s="49"/>
      <c r="Z59" s="49"/>
      <c r="AA59" s="71"/>
      <c r="AB59" s="71"/>
      <c r="AC59" s="49">
        <f t="shared" si="12"/>
        <v>6300000</v>
      </c>
      <c r="AD59" s="108"/>
    </row>
    <row r="60" spans="1:32" s="124" customFormat="1">
      <c r="A60" s="66"/>
      <c r="B60" s="120" t="s">
        <v>96</v>
      </c>
      <c r="C60" s="4"/>
      <c r="D60" s="4"/>
      <c r="E60" s="47"/>
      <c r="F60" s="4"/>
      <c r="G60" s="4"/>
      <c r="H60" s="4"/>
      <c r="I60" s="114" t="s">
        <v>24</v>
      </c>
      <c r="J60" s="48" t="s">
        <v>47</v>
      </c>
      <c r="K60" s="48" t="s">
        <v>27</v>
      </c>
      <c r="L60" s="47">
        <v>1</v>
      </c>
      <c r="M60" s="48" t="s">
        <v>91</v>
      </c>
      <c r="N60" s="48" t="s">
        <v>27</v>
      </c>
      <c r="O60" s="48" t="s">
        <v>28</v>
      </c>
      <c r="P60" s="180">
        <v>630000</v>
      </c>
      <c r="Q60" s="70"/>
      <c r="R60" s="70">
        <f t="shared" ref="R60:R63" si="15">P60*L60*I60</f>
        <v>4410000</v>
      </c>
      <c r="S60" s="70"/>
      <c r="T60" s="49"/>
      <c r="U60" s="49"/>
      <c r="V60" s="49"/>
      <c r="W60" s="49"/>
      <c r="X60" s="49"/>
      <c r="Y60" s="49"/>
      <c r="Z60" s="49"/>
      <c r="AA60" s="71"/>
      <c r="AB60" s="71"/>
      <c r="AC60" s="49">
        <f t="shared" si="12"/>
        <v>4410000</v>
      </c>
      <c r="AD60" s="108"/>
    </row>
    <row r="61" spans="1:32" s="5" customFormat="1">
      <c r="A61" s="6"/>
      <c r="B61" s="120" t="s">
        <v>101</v>
      </c>
      <c r="C61" s="4"/>
      <c r="D61" s="4"/>
      <c r="E61" s="4"/>
      <c r="F61" s="4"/>
      <c r="G61" s="52"/>
      <c r="H61" s="52"/>
      <c r="I61" s="114" t="s">
        <v>238</v>
      </c>
      <c r="J61" s="48" t="s">
        <v>47</v>
      </c>
      <c r="K61" s="116" t="s">
        <v>27</v>
      </c>
      <c r="L61" s="47">
        <v>1</v>
      </c>
      <c r="M61" s="48" t="s">
        <v>91</v>
      </c>
      <c r="N61" s="48" t="s">
        <v>27</v>
      </c>
      <c r="O61" s="48" t="s">
        <v>28</v>
      </c>
      <c r="P61" s="180">
        <v>530000</v>
      </c>
      <c r="Q61" s="9"/>
      <c r="R61" s="70">
        <f t="shared" si="15"/>
        <v>6360000</v>
      </c>
      <c r="S61" s="70"/>
      <c r="T61" s="49"/>
      <c r="U61" s="49"/>
      <c r="V61" s="49"/>
      <c r="W61" s="49"/>
      <c r="X61" s="49"/>
      <c r="Y61" s="49"/>
      <c r="Z61" s="49"/>
      <c r="AA61" s="9"/>
      <c r="AB61" s="9"/>
      <c r="AC61" s="49">
        <f t="shared" si="12"/>
        <v>6360000</v>
      </c>
      <c r="AD61" s="401"/>
    </row>
    <row r="62" spans="1:32">
      <c r="A62" s="54"/>
      <c r="B62" s="120" t="s">
        <v>97</v>
      </c>
      <c r="C62" s="4"/>
      <c r="D62" s="4"/>
      <c r="E62" s="4"/>
      <c r="F62" s="4"/>
      <c r="G62" s="52"/>
      <c r="H62" s="52"/>
      <c r="I62" s="115">
        <v>2</v>
      </c>
      <c r="J62" s="48" t="s">
        <v>47</v>
      </c>
      <c r="K62" s="116" t="s">
        <v>27</v>
      </c>
      <c r="L62" s="47">
        <v>1</v>
      </c>
      <c r="M62" s="48" t="s">
        <v>91</v>
      </c>
      <c r="N62" s="48" t="s">
        <v>27</v>
      </c>
      <c r="O62" s="48" t="s">
        <v>28</v>
      </c>
      <c r="P62" s="180">
        <v>6250000</v>
      </c>
      <c r="Q62" s="63"/>
      <c r="R62" s="70">
        <f t="shared" si="15"/>
        <v>12500000</v>
      </c>
      <c r="S62" s="70"/>
      <c r="T62" s="49"/>
      <c r="U62" s="49"/>
      <c r="V62" s="49"/>
      <c r="W62" s="49"/>
      <c r="X62" s="49"/>
      <c r="Y62" s="49"/>
      <c r="Z62" s="49"/>
      <c r="AA62" s="63"/>
      <c r="AB62" s="63"/>
      <c r="AC62" s="49">
        <f t="shared" si="12"/>
        <v>12500000</v>
      </c>
    </row>
    <row r="63" spans="1:32">
      <c r="A63" s="54"/>
      <c r="B63" s="120" t="s">
        <v>102</v>
      </c>
      <c r="C63" s="4"/>
      <c r="D63" s="4"/>
      <c r="E63" s="4"/>
      <c r="F63" s="4"/>
      <c r="G63" s="52"/>
      <c r="H63" s="52"/>
      <c r="I63" s="115">
        <v>7</v>
      </c>
      <c r="J63" s="48" t="s">
        <v>47</v>
      </c>
      <c r="K63" s="116" t="s">
        <v>27</v>
      </c>
      <c r="L63" s="47">
        <v>1</v>
      </c>
      <c r="M63" s="48" t="s">
        <v>91</v>
      </c>
      <c r="N63" s="48" t="s">
        <v>27</v>
      </c>
      <c r="O63" s="48" t="s">
        <v>28</v>
      </c>
      <c r="P63" s="180">
        <v>600000</v>
      </c>
      <c r="Q63" s="63"/>
      <c r="R63" s="70">
        <f t="shared" si="15"/>
        <v>4200000</v>
      </c>
      <c r="S63" s="70"/>
      <c r="T63" s="49"/>
      <c r="U63" s="49"/>
      <c r="V63" s="49"/>
      <c r="W63" s="49"/>
      <c r="X63" s="49"/>
      <c r="Y63" s="49"/>
      <c r="Z63" s="49"/>
      <c r="AA63" s="63"/>
      <c r="AB63" s="63"/>
      <c r="AC63" s="49">
        <f t="shared" si="12"/>
        <v>4200000</v>
      </c>
    </row>
    <row r="64" spans="1:32">
      <c r="A64" s="54"/>
      <c r="B64" s="55" t="s">
        <v>240</v>
      </c>
      <c r="C64" s="4"/>
      <c r="D64" s="4"/>
      <c r="E64" s="47"/>
      <c r="F64" s="4"/>
      <c r="G64" s="4"/>
      <c r="H64" s="4"/>
      <c r="I64" s="47"/>
      <c r="J64" s="48"/>
      <c r="K64" s="48"/>
      <c r="L64" s="47"/>
      <c r="M64" s="48"/>
      <c r="N64" s="48"/>
      <c r="O64" s="48"/>
      <c r="P64" s="47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8">
        <f t="shared" si="12"/>
        <v>0</v>
      </c>
    </row>
    <row r="65" spans="1:30">
      <c r="A65" s="54"/>
      <c r="B65" s="120" t="s">
        <v>241</v>
      </c>
      <c r="C65" s="4"/>
      <c r="D65" s="4"/>
      <c r="E65" s="47"/>
      <c r="F65" s="4"/>
      <c r="G65" s="4"/>
      <c r="H65" s="4"/>
      <c r="I65" s="114" t="s">
        <v>21</v>
      </c>
      <c r="J65" s="48" t="s">
        <v>47</v>
      </c>
      <c r="K65" s="48" t="s">
        <v>27</v>
      </c>
      <c r="L65" s="47">
        <v>1</v>
      </c>
      <c r="M65" s="48" t="s">
        <v>91</v>
      </c>
      <c r="N65" s="48" t="s">
        <v>27</v>
      </c>
      <c r="O65" s="48" t="s">
        <v>28</v>
      </c>
      <c r="P65" s="180">
        <v>15000000</v>
      </c>
      <c r="Q65" s="49"/>
      <c r="R65" s="49"/>
      <c r="S65" s="49">
        <f>P65</f>
        <v>15000000</v>
      </c>
      <c r="T65" s="49"/>
      <c r="U65" s="49"/>
      <c r="V65" s="49"/>
      <c r="W65" s="49"/>
      <c r="X65" s="49"/>
      <c r="Y65" s="49"/>
      <c r="Z65" s="49"/>
      <c r="AA65" s="49"/>
      <c r="AB65" s="49"/>
      <c r="AC65" s="49">
        <f t="shared" ref="AC65" si="16">SUM(Q65:AB65)</f>
        <v>15000000</v>
      </c>
    </row>
    <row r="66" spans="1:30">
      <c r="A66" s="54"/>
      <c r="B66" s="111"/>
      <c r="C66" s="4"/>
      <c r="D66" s="4"/>
      <c r="E66" s="4"/>
      <c r="F66" s="4"/>
      <c r="G66" s="52"/>
      <c r="H66" s="52"/>
      <c r="I66" s="47"/>
      <c r="J66" s="48"/>
      <c r="K66" s="64"/>
      <c r="L66" s="47"/>
      <c r="M66" s="48"/>
      <c r="N66" s="64"/>
      <c r="O66" s="48"/>
      <c r="P66" s="47"/>
      <c r="Q66" s="63"/>
      <c r="R66" s="70"/>
      <c r="S66" s="70"/>
      <c r="T66" s="49"/>
      <c r="U66" s="49"/>
      <c r="V66" s="49"/>
      <c r="W66" s="49"/>
      <c r="X66" s="49"/>
      <c r="Y66" s="49"/>
      <c r="Z66" s="49"/>
      <c r="AA66" s="63"/>
      <c r="AB66" s="63"/>
      <c r="AC66" s="49">
        <f>SUM(Q66:AB66)</f>
        <v>0</v>
      </c>
    </row>
    <row r="67" spans="1:30">
      <c r="A67" s="54" t="s">
        <v>204</v>
      </c>
      <c r="B67" s="122" t="s">
        <v>105</v>
      </c>
      <c r="C67" s="4"/>
      <c r="D67" s="4"/>
      <c r="E67" s="4"/>
      <c r="F67" s="4"/>
      <c r="G67" s="52"/>
      <c r="H67" s="52"/>
      <c r="I67" s="47"/>
      <c r="J67" s="48"/>
      <c r="K67" s="64"/>
      <c r="L67" s="47"/>
      <c r="M67" s="48"/>
      <c r="N67" s="64"/>
      <c r="O67" s="48"/>
      <c r="P67" s="47"/>
      <c r="Q67" s="63"/>
      <c r="R67" s="70"/>
      <c r="S67" s="70"/>
      <c r="T67" s="49"/>
      <c r="U67" s="49"/>
      <c r="V67" s="49"/>
      <c r="W67" s="49"/>
      <c r="X67" s="49"/>
      <c r="Y67" s="49"/>
      <c r="Z67" s="49"/>
      <c r="AA67" s="63"/>
      <c r="AB67" s="63"/>
      <c r="AC67" s="49">
        <f>SUM(Q67:AB67)</f>
        <v>0</v>
      </c>
      <c r="AD67" s="34">
        <f>SUM(AC69:AC146)</f>
        <v>755808000</v>
      </c>
    </row>
    <row r="68" spans="1:30">
      <c r="A68" s="54"/>
      <c r="B68" s="106" t="s">
        <v>115</v>
      </c>
      <c r="C68" s="4"/>
      <c r="D68" s="4"/>
      <c r="E68" s="4"/>
      <c r="F68" s="4"/>
      <c r="G68" s="52"/>
      <c r="H68" s="52"/>
      <c r="I68" s="47"/>
      <c r="J68" s="48"/>
      <c r="K68" s="64"/>
      <c r="L68" s="47"/>
      <c r="M68" s="48"/>
      <c r="N68" s="64"/>
      <c r="O68" s="48"/>
      <c r="P68" s="47"/>
      <c r="Q68" s="63"/>
      <c r="R68" s="70"/>
      <c r="S68" s="70"/>
      <c r="T68" s="49"/>
      <c r="U68" s="49"/>
      <c r="V68" s="49"/>
      <c r="W68" s="49"/>
      <c r="X68" s="49"/>
      <c r="Y68" s="49"/>
      <c r="Z68" s="49"/>
      <c r="AA68" s="63"/>
      <c r="AB68" s="63"/>
      <c r="AC68" s="49">
        <f>SUM(Q68:AB68)</f>
        <v>0</v>
      </c>
    </row>
    <row r="69" spans="1:30">
      <c r="A69" s="54"/>
      <c r="B69" s="126" t="s">
        <v>179</v>
      </c>
      <c r="C69" s="4"/>
      <c r="D69" s="4"/>
      <c r="E69" s="4"/>
      <c r="F69" s="132">
        <v>2</v>
      </c>
      <c r="G69" s="133" t="s">
        <v>30</v>
      </c>
      <c r="H69" s="64" t="s">
        <v>27</v>
      </c>
      <c r="I69" s="134">
        <v>3</v>
      </c>
      <c r="J69" s="135" t="s">
        <v>31</v>
      </c>
      <c r="K69" s="64" t="s">
        <v>27</v>
      </c>
      <c r="L69" s="134">
        <v>8</v>
      </c>
      <c r="M69" s="135" t="s">
        <v>26</v>
      </c>
      <c r="N69" s="48" t="s">
        <v>27</v>
      </c>
      <c r="O69" s="48" t="s">
        <v>28</v>
      </c>
      <c r="P69" s="47">
        <v>110000</v>
      </c>
      <c r="Q69" s="63"/>
      <c r="R69" s="70"/>
      <c r="S69" s="70"/>
      <c r="T69" s="49"/>
      <c r="U69" s="49">
        <f>P69*L69*I69*F69</f>
        <v>5280000</v>
      </c>
      <c r="V69" s="49"/>
      <c r="W69" s="49"/>
      <c r="X69" s="49"/>
      <c r="Y69" s="49"/>
      <c r="Z69" s="49"/>
      <c r="AA69" s="63"/>
      <c r="AB69" s="63"/>
      <c r="AC69" s="49">
        <f>SUM(Q69:AB69)</f>
        <v>5280000</v>
      </c>
    </row>
    <row r="70" spans="1:30">
      <c r="A70" s="54"/>
      <c r="B70" s="126"/>
      <c r="C70" s="4"/>
      <c r="D70" s="4"/>
      <c r="E70" s="4"/>
      <c r="F70" s="132"/>
      <c r="G70" s="133"/>
      <c r="H70" s="64"/>
      <c r="I70" s="134"/>
      <c r="J70" s="135"/>
      <c r="K70" s="64"/>
      <c r="L70" s="134"/>
      <c r="M70" s="135"/>
      <c r="N70" s="48"/>
      <c r="O70" s="48"/>
      <c r="P70" s="47"/>
      <c r="Q70" s="63"/>
      <c r="R70" s="70"/>
      <c r="S70" s="70"/>
      <c r="T70" s="49"/>
      <c r="U70" s="49"/>
      <c r="V70" s="49"/>
      <c r="W70" s="49"/>
      <c r="X70" s="49"/>
      <c r="Y70" s="49"/>
      <c r="Z70" s="49"/>
      <c r="AA70" s="63"/>
      <c r="AB70" s="63"/>
      <c r="AC70" s="49"/>
    </row>
    <row r="71" spans="1:30">
      <c r="A71" s="54"/>
      <c r="B71" s="122" t="s">
        <v>111</v>
      </c>
      <c r="C71" s="4"/>
      <c r="D71" s="4"/>
      <c r="E71" s="4"/>
      <c r="F71" s="4"/>
      <c r="G71" s="52"/>
      <c r="H71" s="52"/>
      <c r="I71" s="47"/>
      <c r="J71" s="48"/>
      <c r="K71" s="64"/>
      <c r="L71" s="47"/>
      <c r="M71" s="48"/>
      <c r="N71" s="64"/>
      <c r="O71" s="48"/>
      <c r="P71" s="47"/>
      <c r="Q71" s="63"/>
      <c r="R71" s="70"/>
      <c r="S71" s="70"/>
      <c r="T71" s="49"/>
      <c r="U71" s="49"/>
      <c r="V71" s="49"/>
      <c r="W71" s="49"/>
      <c r="X71" s="49"/>
      <c r="Y71" s="49"/>
      <c r="Z71" s="49"/>
      <c r="AA71" s="63"/>
      <c r="AB71" s="63"/>
      <c r="AC71" s="49">
        <f>SUM(Q71:AB71)</f>
        <v>0</v>
      </c>
    </row>
    <row r="72" spans="1:30">
      <c r="A72" s="54"/>
      <c r="B72" s="120" t="s">
        <v>106</v>
      </c>
      <c r="C72" s="4"/>
      <c r="D72" s="4"/>
      <c r="E72" s="4"/>
      <c r="F72" s="4"/>
      <c r="G72" s="52"/>
      <c r="H72" s="52"/>
      <c r="I72" s="114" t="s">
        <v>21</v>
      </c>
      <c r="J72" s="48" t="s">
        <v>30</v>
      </c>
      <c r="K72" s="48" t="s">
        <v>27</v>
      </c>
      <c r="L72" s="47">
        <v>12</v>
      </c>
      <c r="M72" s="48" t="s">
        <v>41</v>
      </c>
      <c r="N72" s="48" t="s">
        <v>27</v>
      </c>
      <c r="O72" s="48" t="s">
        <v>28</v>
      </c>
      <c r="P72" s="213">
        <v>1250000</v>
      </c>
      <c r="Q72" s="63"/>
      <c r="R72" s="70"/>
      <c r="S72" s="70"/>
      <c r="T72" s="49"/>
      <c r="U72" s="49"/>
      <c r="V72" s="49">
        <f>P72*L72*I72</f>
        <v>15000000</v>
      </c>
      <c r="W72" s="49"/>
      <c r="X72" s="49"/>
      <c r="Y72" s="49"/>
      <c r="Z72" s="49"/>
      <c r="AA72" s="63"/>
      <c r="AB72" s="63"/>
      <c r="AC72" s="49">
        <f>SUM(Q72:AB72)</f>
        <v>15000000</v>
      </c>
      <c r="AD72" s="34">
        <f>SUM(AC72:AC82)</f>
        <v>86160000</v>
      </c>
    </row>
    <row r="73" spans="1:30">
      <c r="A73" s="54"/>
      <c r="B73" s="120" t="s">
        <v>107</v>
      </c>
      <c r="C73" s="4"/>
      <c r="D73" s="4"/>
      <c r="E73" s="4"/>
      <c r="F73" s="4"/>
      <c r="G73" s="52"/>
      <c r="H73" s="52"/>
      <c r="I73" s="114" t="s">
        <v>21</v>
      </c>
      <c r="J73" s="48" t="s">
        <v>30</v>
      </c>
      <c r="K73" s="48" t="s">
        <v>27</v>
      </c>
      <c r="L73" s="47">
        <v>12</v>
      </c>
      <c r="M73" s="48" t="s">
        <v>41</v>
      </c>
      <c r="N73" s="48" t="s">
        <v>27</v>
      </c>
      <c r="O73" s="48" t="s">
        <v>28</v>
      </c>
      <c r="P73" s="213">
        <v>1050000</v>
      </c>
      <c r="Q73" s="63"/>
      <c r="R73" s="70"/>
      <c r="S73" s="70"/>
      <c r="T73" s="49"/>
      <c r="U73" s="49"/>
      <c r="V73" s="49">
        <f t="shared" ref="V73:V79" si="17">P73*L73*I73</f>
        <v>12600000</v>
      </c>
      <c r="W73" s="49"/>
      <c r="X73" s="49"/>
      <c r="Y73" s="49"/>
      <c r="Z73" s="49"/>
      <c r="AA73" s="63"/>
      <c r="AB73" s="63"/>
      <c r="AC73" s="49">
        <f>SUM(Q73:AB73)</f>
        <v>12600000</v>
      </c>
    </row>
    <row r="74" spans="1:30">
      <c r="A74" s="54"/>
      <c r="B74" s="120" t="s">
        <v>108</v>
      </c>
      <c r="C74" s="4"/>
      <c r="D74" s="4"/>
      <c r="E74" s="4"/>
      <c r="F74" s="4"/>
      <c r="G74" s="52"/>
      <c r="H74" s="52"/>
      <c r="I74" s="114" t="s">
        <v>21</v>
      </c>
      <c r="J74" s="48" t="s">
        <v>30</v>
      </c>
      <c r="K74" s="48" t="s">
        <v>27</v>
      </c>
      <c r="L74" s="47">
        <v>12</v>
      </c>
      <c r="M74" s="48" t="s">
        <v>41</v>
      </c>
      <c r="N74" s="48" t="s">
        <v>27</v>
      </c>
      <c r="O74" s="48" t="s">
        <v>28</v>
      </c>
      <c r="P74" s="213">
        <v>990000</v>
      </c>
      <c r="Q74" s="63"/>
      <c r="R74" s="70"/>
      <c r="S74" s="70"/>
      <c r="T74" s="49"/>
      <c r="U74" s="49"/>
      <c r="V74" s="49">
        <f t="shared" si="17"/>
        <v>11880000</v>
      </c>
      <c r="W74" s="49"/>
      <c r="X74" s="49"/>
      <c r="Y74" s="49"/>
      <c r="Z74" s="49"/>
      <c r="AA74" s="63"/>
      <c r="AB74" s="63"/>
      <c r="AC74" s="49">
        <f>SUM(Q74:AB74)</f>
        <v>11880000</v>
      </c>
    </row>
    <row r="75" spans="1:30">
      <c r="A75" s="54"/>
      <c r="B75" s="120" t="s">
        <v>109</v>
      </c>
      <c r="C75" s="4"/>
      <c r="D75" s="4"/>
      <c r="E75" s="4"/>
      <c r="F75" s="4"/>
      <c r="G75" s="52"/>
      <c r="H75" s="52"/>
      <c r="I75" s="114" t="s">
        <v>21</v>
      </c>
      <c r="J75" s="48" t="s">
        <v>30</v>
      </c>
      <c r="K75" s="48" t="s">
        <v>27</v>
      </c>
      <c r="L75" s="47">
        <v>12</v>
      </c>
      <c r="M75" s="48" t="s">
        <v>41</v>
      </c>
      <c r="N75" s="48" t="s">
        <v>27</v>
      </c>
      <c r="O75" s="48" t="s">
        <v>28</v>
      </c>
      <c r="P75" s="213">
        <v>860000</v>
      </c>
      <c r="Q75" s="63"/>
      <c r="R75" s="70"/>
      <c r="S75" s="70"/>
      <c r="T75" s="49"/>
      <c r="U75" s="49"/>
      <c r="V75" s="49">
        <f t="shared" si="17"/>
        <v>10320000</v>
      </c>
      <c r="W75" s="49"/>
      <c r="X75" s="49"/>
      <c r="Y75" s="49"/>
      <c r="Z75" s="49"/>
      <c r="AA75" s="63"/>
      <c r="AB75" s="63"/>
      <c r="AC75" s="49">
        <f>SUM(Q75:AB75)</f>
        <v>10320000</v>
      </c>
    </row>
    <row r="76" spans="1:30">
      <c r="A76" s="54"/>
      <c r="B76" s="120" t="s">
        <v>178</v>
      </c>
      <c r="C76" s="4"/>
      <c r="D76" s="4"/>
      <c r="E76" s="4"/>
      <c r="F76" s="4"/>
      <c r="G76" s="52"/>
      <c r="H76" s="52"/>
      <c r="I76" s="114" t="s">
        <v>21</v>
      </c>
      <c r="J76" s="48" t="s">
        <v>30</v>
      </c>
      <c r="K76" s="48" t="s">
        <v>27</v>
      </c>
      <c r="L76" s="47">
        <v>12</v>
      </c>
      <c r="M76" s="48" t="s">
        <v>41</v>
      </c>
      <c r="N76" s="48" t="s">
        <v>27</v>
      </c>
      <c r="O76" s="48" t="s">
        <v>28</v>
      </c>
      <c r="P76" s="213">
        <v>640000</v>
      </c>
      <c r="Q76" s="63"/>
      <c r="R76" s="70"/>
      <c r="S76" s="70"/>
      <c r="T76" s="49"/>
      <c r="U76" s="49"/>
      <c r="V76" s="49">
        <f t="shared" ref="V76" si="18">P76*L76*I76</f>
        <v>7680000</v>
      </c>
      <c r="W76" s="49"/>
      <c r="X76" s="49"/>
      <c r="Y76" s="49"/>
      <c r="Z76" s="49"/>
      <c r="AA76" s="63"/>
      <c r="AB76" s="63"/>
      <c r="AC76" s="49">
        <f t="shared" ref="AC76" si="19">SUM(Q76:AB76)</f>
        <v>7680000</v>
      </c>
    </row>
    <row r="77" spans="1:30">
      <c r="A77" s="54"/>
      <c r="B77" s="120" t="s">
        <v>239</v>
      </c>
      <c r="C77" s="4"/>
      <c r="D77" s="4"/>
      <c r="E77" s="4"/>
      <c r="F77" s="4"/>
      <c r="G77" s="52"/>
      <c r="H77" s="52"/>
      <c r="I77" s="114" t="s">
        <v>21</v>
      </c>
      <c r="J77" s="48" t="s">
        <v>30</v>
      </c>
      <c r="K77" s="48" t="s">
        <v>27</v>
      </c>
      <c r="L77" s="47">
        <v>12</v>
      </c>
      <c r="M77" s="48" t="s">
        <v>41</v>
      </c>
      <c r="N77" s="48" t="s">
        <v>27</v>
      </c>
      <c r="O77" s="48" t="s">
        <v>28</v>
      </c>
      <c r="P77" s="213">
        <v>640000</v>
      </c>
      <c r="Q77" s="63"/>
      <c r="R77" s="70"/>
      <c r="S77" s="70"/>
      <c r="T77" s="49"/>
      <c r="U77" s="49"/>
      <c r="V77" s="49">
        <f t="shared" ref="V77" si="20">P77*L77*I77</f>
        <v>7680000</v>
      </c>
      <c r="W77" s="49"/>
      <c r="X77" s="49"/>
      <c r="Y77" s="49"/>
      <c r="Z77" s="49"/>
      <c r="AA77" s="63"/>
      <c r="AB77" s="63"/>
      <c r="AC77" s="49">
        <f t="shared" ref="AC77" si="21">SUM(Q77:AB77)</f>
        <v>7680000</v>
      </c>
    </row>
    <row r="78" spans="1:30">
      <c r="A78" s="54"/>
      <c r="B78" s="120" t="s">
        <v>110</v>
      </c>
      <c r="C78" s="4"/>
      <c r="D78" s="4"/>
      <c r="E78" s="4"/>
      <c r="F78" s="4"/>
      <c r="G78" s="52"/>
      <c r="H78" s="52"/>
      <c r="I78" s="114" t="s">
        <v>21</v>
      </c>
      <c r="J78" s="48" t="s">
        <v>30</v>
      </c>
      <c r="K78" s="48" t="s">
        <v>27</v>
      </c>
      <c r="L78" s="47">
        <v>12</v>
      </c>
      <c r="M78" s="48" t="s">
        <v>41</v>
      </c>
      <c r="N78" s="48" t="s">
        <v>27</v>
      </c>
      <c r="O78" s="48" t="s">
        <v>28</v>
      </c>
      <c r="P78" s="213">
        <v>200000</v>
      </c>
      <c r="Q78" s="63"/>
      <c r="R78" s="70"/>
      <c r="S78" s="70"/>
      <c r="T78" s="49"/>
      <c r="U78" s="49"/>
      <c r="V78" s="49">
        <f t="shared" si="17"/>
        <v>2400000</v>
      </c>
      <c r="W78" s="49"/>
      <c r="X78" s="49"/>
      <c r="Y78" s="49"/>
      <c r="Z78" s="49"/>
      <c r="AA78" s="63"/>
      <c r="AB78" s="63"/>
      <c r="AC78" s="49">
        <f>SUM(Q78:AB78)</f>
        <v>2400000</v>
      </c>
    </row>
    <row r="79" spans="1:30">
      <c r="A79" s="54"/>
      <c r="B79" s="120" t="s">
        <v>213</v>
      </c>
      <c r="C79" s="4"/>
      <c r="D79" s="4"/>
      <c r="E79" s="4"/>
      <c r="F79" s="4"/>
      <c r="G79" s="52"/>
      <c r="H79" s="52"/>
      <c r="I79" s="114" t="s">
        <v>21</v>
      </c>
      <c r="J79" s="48" t="s">
        <v>30</v>
      </c>
      <c r="K79" s="48" t="s">
        <v>27</v>
      </c>
      <c r="L79" s="47">
        <v>12</v>
      </c>
      <c r="M79" s="48" t="s">
        <v>41</v>
      </c>
      <c r="N79" s="48" t="s">
        <v>27</v>
      </c>
      <c r="O79" s="48" t="s">
        <v>28</v>
      </c>
      <c r="P79" s="213">
        <v>150000</v>
      </c>
      <c r="Q79" s="63"/>
      <c r="R79" s="70"/>
      <c r="S79" s="70"/>
      <c r="T79" s="49"/>
      <c r="U79" s="49"/>
      <c r="V79" s="49">
        <f t="shared" si="17"/>
        <v>1800000</v>
      </c>
      <c r="W79" s="49"/>
      <c r="X79" s="49"/>
      <c r="Y79" s="49"/>
      <c r="Z79" s="49"/>
      <c r="AA79" s="63"/>
      <c r="AB79" s="63"/>
      <c r="AC79" s="49">
        <f>SUM(Q79:AB79)</f>
        <v>1800000</v>
      </c>
    </row>
    <row r="80" spans="1:30">
      <c r="A80" s="54"/>
      <c r="B80" s="120" t="s">
        <v>214</v>
      </c>
      <c r="C80" s="4"/>
      <c r="D80" s="4"/>
      <c r="E80" s="4"/>
      <c r="F80" s="4"/>
      <c r="G80" s="52"/>
      <c r="H80" s="52"/>
      <c r="I80" s="114" t="s">
        <v>21</v>
      </c>
      <c r="J80" s="48" t="s">
        <v>30</v>
      </c>
      <c r="K80" s="48" t="s">
        <v>27</v>
      </c>
      <c r="L80" s="47">
        <v>12</v>
      </c>
      <c r="M80" s="48" t="s">
        <v>41</v>
      </c>
      <c r="N80" s="48" t="s">
        <v>27</v>
      </c>
      <c r="O80" s="48" t="s">
        <v>28</v>
      </c>
      <c r="P80" s="213">
        <v>300000</v>
      </c>
      <c r="Q80" s="63"/>
      <c r="R80" s="70"/>
      <c r="S80" s="70"/>
      <c r="T80" s="49"/>
      <c r="U80" s="49"/>
      <c r="V80" s="49">
        <f t="shared" ref="V80" si="22">P80*L80*I80</f>
        <v>3600000</v>
      </c>
      <c r="W80" s="49"/>
      <c r="X80" s="49"/>
      <c r="Y80" s="49"/>
      <c r="Z80" s="49"/>
      <c r="AA80" s="63"/>
      <c r="AB80" s="63"/>
      <c r="AC80" s="49">
        <f t="shared" ref="AC80" si="23">SUM(Q80:AB80)</f>
        <v>3600000</v>
      </c>
    </row>
    <row r="81" spans="1:30">
      <c r="A81" s="54"/>
      <c r="B81" s="120" t="s">
        <v>496</v>
      </c>
      <c r="C81" s="4"/>
      <c r="D81" s="4"/>
      <c r="E81" s="4"/>
      <c r="F81" s="4"/>
      <c r="G81" s="52"/>
      <c r="H81" s="52"/>
      <c r="I81" s="114" t="s">
        <v>21</v>
      </c>
      <c r="J81" s="48" t="s">
        <v>30</v>
      </c>
      <c r="K81" s="48" t="s">
        <v>27</v>
      </c>
      <c r="L81" s="47">
        <v>12</v>
      </c>
      <c r="M81" s="48" t="s">
        <v>41</v>
      </c>
      <c r="N81" s="48" t="s">
        <v>27</v>
      </c>
      <c r="O81" s="48" t="s">
        <v>28</v>
      </c>
      <c r="P81" s="213">
        <v>680000</v>
      </c>
      <c r="Q81" s="63"/>
      <c r="R81" s="70"/>
      <c r="S81" s="70"/>
      <c r="T81" s="49"/>
      <c r="U81" s="49"/>
      <c r="V81" s="49">
        <f t="shared" ref="V81:V82" si="24">P81*L81*I81</f>
        <v>8160000</v>
      </c>
      <c r="W81" s="49"/>
      <c r="X81" s="49"/>
      <c r="Y81" s="49"/>
      <c r="Z81" s="49"/>
      <c r="AA81" s="63"/>
      <c r="AB81" s="63"/>
      <c r="AC81" s="49">
        <f t="shared" ref="AC81:AC82" si="25">SUM(Q81:AB81)</f>
        <v>8160000</v>
      </c>
    </row>
    <row r="82" spans="1:30">
      <c r="A82" s="54"/>
      <c r="B82" s="120" t="s">
        <v>495</v>
      </c>
      <c r="C82" s="4"/>
      <c r="D82" s="4"/>
      <c r="E82" s="4"/>
      <c r="F82" s="4"/>
      <c r="G82" s="52"/>
      <c r="H82" s="52"/>
      <c r="I82" s="114" t="s">
        <v>21</v>
      </c>
      <c r="J82" s="48" t="s">
        <v>30</v>
      </c>
      <c r="K82" s="48" t="s">
        <v>27</v>
      </c>
      <c r="L82" s="47">
        <v>12</v>
      </c>
      <c r="M82" s="48" t="s">
        <v>41</v>
      </c>
      <c r="N82" s="48" t="s">
        <v>27</v>
      </c>
      <c r="O82" s="48" t="s">
        <v>28</v>
      </c>
      <c r="P82" s="213">
        <v>420000</v>
      </c>
      <c r="Q82" s="63"/>
      <c r="R82" s="70"/>
      <c r="S82" s="70"/>
      <c r="T82" s="49"/>
      <c r="U82" s="49"/>
      <c r="V82" s="49">
        <f t="shared" si="24"/>
        <v>5040000</v>
      </c>
      <c r="W82" s="49"/>
      <c r="X82" s="49"/>
      <c r="Y82" s="49"/>
      <c r="Z82" s="49"/>
      <c r="AA82" s="63"/>
      <c r="AB82" s="63"/>
      <c r="AC82" s="49">
        <f t="shared" si="25"/>
        <v>5040000</v>
      </c>
    </row>
    <row r="83" spans="1:30">
      <c r="A83" s="54"/>
      <c r="B83" s="119"/>
      <c r="C83" s="4"/>
      <c r="D83" s="4"/>
      <c r="E83" s="4"/>
      <c r="F83" s="4"/>
      <c r="G83" s="52"/>
      <c r="H83" s="52"/>
      <c r="I83" s="47"/>
      <c r="J83" s="48"/>
      <c r="K83" s="64"/>
      <c r="L83" s="47"/>
      <c r="M83" s="48"/>
      <c r="N83" s="64"/>
      <c r="O83" s="48"/>
      <c r="P83" s="47"/>
      <c r="Q83" s="63"/>
      <c r="R83" s="70"/>
      <c r="S83" s="332"/>
      <c r="T83" s="49"/>
      <c r="U83" s="49"/>
      <c r="V83" s="49"/>
      <c r="W83" s="49"/>
      <c r="X83" s="49"/>
      <c r="Y83" s="49"/>
      <c r="Z83" s="49"/>
      <c r="AA83" s="63"/>
      <c r="AB83" s="63"/>
      <c r="AC83" s="49">
        <f t="shared" ref="AC83:AC136" si="26">SUM(Q83:AB83)</f>
        <v>0</v>
      </c>
    </row>
    <row r="84" spans="1:30">
      <c r="A84" s="54"/>
      <c r="B84" s="122" t="s">
        <v>60</v>
      </c>
      <c r="C84" s="4"/>
      <c r="D84" s="4"/>
      <c r="E84" s="4"/>
      <c r="F84" s="4"/>
      <c r="G84" s="52"/>
      <c r="H84" s="52"/>
      <c r="I84" s="132"/>
      <c r="J84" s="133"/>
      <c r="K84" s="64"/>
      <c r="L84" s="134"/>
      <c r="M84" s="135"/>
      <c r="N84" s="48"/>
      <c r="O84" s="48"/>
      <c r="P84" s="47"/>
      <c r="Q84" s="63"/>
      <c r="R84" s="70"/>
      <c r="S84" s="332"/>
      <c r="T84" s="49"/>
      <c r="U84" s="49"/>
      <c r="V84" s="49"/>
      <c r="W84" s="49"/>
      <c r="X84" s="49"/>
      <c r="Y84" s="49"/>
      <c r="Z84" s="49"/>
      <c r="AA84" s="63"/>
      <c r="AB84" s="63"/>
      <c r="AC84" s="49"/>
      <c r="AD84" s="34">
        <v>504488000</v>
      </c>
    </row>
    <row r="85" spans="1:30">
      <c r="A85" s="54"/>
      <c r="B85" s="111" t="s">
        <v>228</v>
      </c>
      <c r="C85" s="4"/>
      <c r="D85" s="4"/>
      <c r="E85" s="4"/>
      <c r="F85" s="4"/>
      <c r="G85" s="52"/>
      <c r="H85" s="52"/>
      <c r="I85" s="132">
        <v>2</v>
      </c>
      <c r="J85" s="133" t="s">
        <v>31</v>
      </c>
      <c r="K85" s="64" t="s">
        <v>27</v>
      </c>
      <c r="L85" s="134">
        <v>4</v>
      </c>
      <c r="M85" s="135" t="s">
        <v>227</v>
      </c>
      <c r="N85" s="48" t="s">
        <v>27</v>
      </c>
      <c r="O85" s="48" t="s">
        <v>28</v>
      </c>
      <c r="P85" s="213">
        <v>700000</v>
      </c>
      <c r="Q85" s="63"/>
      <c r="R85" s="70"/>
      <c r="S85" s="332"/>
      <c r="T85" s="49"/>
      <c r="U85" s="49"/>
      <c r="V85" s="49"/>
      <c r="W85" s="49"/>
      <c r="X85" s="49"/>
      <c r="Y85" s="49"/>
      <c r="Z85" s="49"/>
      <c r="AA85" s="63"/>
      <c r="AB85" s="63">
        <f>P85*L85*I85</f>
        <v>5600000</v>
      </c>
      <c r="AC85" s="49">
        <f>AB85</f>
        <v>5600000</v>
      </c>
      <c r="AD85" s="34">
        <f>AD84-1500000</f>
        <v>502988000</v>
      </c>
    </row>
    <row r="86" spans="1:30">
      <c r="A86" s="54"/>
      <c r="B86" s="122"/>
      <c r="C86" s="4"/>
      <c r="D86" s="4"/>
      <c r="E86" s="4"/>
      <c r="F86" s="4"/>
      <c r="G86" s="52"/>
      <c r="H86" s="52"/>
      <c r="I86" s="132"/>
      <c r="J86" s="133"/>
      <c r="K86" s="64"/>
      <c r="L86" s="134"/>
      <c r="M86" s="135"/>
      <c r="N86" s="48"/>
      <c r="O86" s="48"/>
      <c r="P86" s="47"/>
      <c r="Q86" s="63"/>
      <c r="R86" s="70"/>
      <c r="S86" s="332"/>
      <c r="T86" s="49"/>
      <c r="U86" s="49"/>
      <c r="V86" s="49"/>
      <c r="W86" s="49"/>
      <c r="X86" s="49"/>
      <c r="Y86" s="49"/>
      <c r="Z86" s="49"/>
      <c r="AA86" s="63"/>
      <c r="AB86" s="63"/>
      <c r="AC86" s="49"/>
    </row>
    <row r="87" spans="1:30">
      <c r="A87" s="54"/>
      <c r="B87" s="122" t="s">
        <v>172</v>
      </c>
      <c r="C87" s="4"/>
      <c r="D87" s="4"/>
      <c r="E87" s="4"/>
      <c r="F87" s="4"/>
      <c r="G87" s="52"/>
      <c r="H87" s="52"/>
      <c r="I87" s="47"/>
      <c r="J87" s="48"/>
      <c r="K87" s="64"/>
      <c r="L87" s="47"/>
      <c r="M87" s="48"/>
      <c r="N87" s="64"/>
      <c r="O87" s="48"/>
      <c r="P87" s="47"/>
      <c r="Q87" s="63"/>
      <c r="R87" s="70"/>
      <c r="S87" s="332"/>
      <c r="T87" s="49"/>
      <c r="U87" s="49"/>
      <c r="V87" s="49"/>
      <c r="W87" s="49"/>
      <c r="X87" s="49"/>
      <c r="Y87" s="49"/>
      <c r="Z87" s="49"/>
      <c r="AA87" s="63"/>
      <c r="AB87" s="63"/>
      <c r="AC87" s="49">
        <f t="shared" si="26"/>
        <v>0</v>
      </c>
    </row>
    <row r="88" spans="1:30">
      <c r="A88" s="54"/>
      <c r="B88" s="137" t="s">
        <v>123</v>
      </c>
      <c r="C88" s="4"/>
      <c r="D88" s="4"/>
      <c r="E88" s="4"/>
      <c r="F88" s="4"/>
      <c r="G88" s="52"/>
      <c r="H88" s="52"/>
      <c r="I88" s="47"/>
      <c r="J88" s="48"/>
      <c r="K88" s="64"/>
      <c r="L88" s="47"/>
      <c r="M88" s="48"/>
      <c r="N88" s="64"/>
      <c r="O88" s="48"/>
      <c r="P88" s="47"/>
      <c r="Q88" s="63"/>
      <c r="R88" s="70"/>
      <c r="S88" s="332"/>
      <c r="T88" s="49"/>
      <c r="U88" s="49"/>
      <c r="V88" s="49"/>
      <c r="W88" s="49"/>
      <c r="X88" s="49"/>
      <c r="Y88" s="49"/>
      <c r="Z88" s="49"/>
      <c r="AA88" s="63"/>
      <c r="AB88" s="63"/>
      <c r="AC88" s="49">
        <f t="shared" si="26"/>
        <v>0</v>
      </c>
      <c r="AD88" s="34">
        <f>SUM(AC89:AC129)</f>
        <v>502988000</v>
      </c>
    </row>
    <row r="89" spans="1:30">
      <c r="A89" s="54"/>
      <c r="B89" s="128" t="s">
        <v>124</v>
      </c>
      <c r="C89" s="4"/>
      <c r="D89" s="4"/>
      <c r="E89" s="4"/>
      <c r="F89" s="47"/>
      <c r="G89" s="48"/>
      <c r="H89" s="48"/>
      <c r="I89" s="132">
        <v>1</v>
      </c>
      <c r="J89" s="133" t="s">
        <v>30</v>
      </c>
      <c r="K89" s="64" t="s">
        <v>27</v>
      </c>
      <c r="L89" s="134">
        <v>24</v>
      </c>
      <c r="M89" s="135" t="s">
        <v>26</v>
      </c>
      <c r="N89" s="48" t="s">
        <v>27</v>
      </c>
      <c r="O89" s="48" t="s">
        <v>28</v>
      </c>
      <c r="P89" s="47">
        <v>7500000</v>
      </c>
      <c r="Q89" s="63"/>
      <c r="R89" s="70"/>
      <c r="S89" s="332"/>
      <c r="T89" s="49">
        <f>P89*L89*I89</f>
        <v>180000000</v>
      </c>
      <c r="U89" s="49"/>
      <c r="V89" s="49"/>
      <c r="W89" s="49"/>
      <c r="X89" s="49"/>
      <c r="Y89" s="49"/>
      <c r="Z89" s="49"/>
      <c r="AA89" s="63"/>
      <c r="AB89" s="63"/>
      <c r="AC89" s="49">
        <f t="shared" si="26"/>
        <v>180000000</v>
      </c>
      <c r="AD89" s="34">
        <f>SUM(AC89:AC93)</f>
        <v>322512000</v>
      </c>
    </row>
    <row r="90" spans="1:30">
      <c r="A90" s="54"/>
      <c r="B90" s="128" t="s">
        <v>609</v>
      </c>
      <c r="C90" s="4"/>
      <c r="D90" s="4"/>
      <c r="E90" s="4"/>
      <c r="F90" s="47"/>
      <c r="G90" s="48"/>
      <c r="H90" s="48"/>
      <c r="I90" s="132">
        <v>1</v>
      </c>
      <c r="J90" s="133" t="s">
        <v>30</v>
      </c>
      <c r="K90" s="64" t="s">
        <v>27</v>
      </c>
      <c r="L90" s="134">
        <v>24</v>
      </c>
      <c r="M90" s="135" t="s">
        <v>26</v>
      </c>
      <c r="N90" s="48" t="s">
        <v>27</v>
      </c>
      <c r="O90" s="48" t="s">
        <v>28</v>
      </c>
      <c r="P90" s="47">
        <f>174000*2</f>
        <v>348000</v>
      </c>
      <c r="Q90" s="63"/>
      <c r="R90" s="70"/>
      <c r="S90" s="314"/>
      <c r="T90" s="49">
        <f t="shared" ref="T90:T91" si="27">P90*L90*I90</f>
        <v>8352000</v>
      </c>
      <c r="U90" s="49"/>
      <c r="V90" s="49"/>
      <c r="W90" s="49"/>
      <c r="X90" s="49"/>
      <c r="Y90" s="49"/>
      <c r="Z90" s="49"/>
      <c r="AA90" s="63"/>
      <c r="AB90" s="63"/>
      <c r="AC90" s="49">
        <f t="shared" si="26"/>
        <v>8352000</v>
      </c>
    </row>
    <row r="91" spans="1:30">
      <c r="A91" s="54"/>
      <c r="B91" s="128" t="s">
        <v>610</v>
      </c>
      <c r="C91" s="4"/>
      <c r="D91" s="4"/>
      <c r="E91" s="4"/>
      <c r="I91" s="132">
        <v>1</v>
      </c>
      <c r="J91" s="133" t="s">
        <v>30</v>
      </c>
      <c r="K91" s="64" t="s">
        <v>27</v>
      </c>
      <c r="L91" s="134">
        <v>24</v>
      </c>
      <c r="M91" s="135" t="s">
        <v>26</v>
      </c>
      <c r="N91" s="48" t="s">
        <v>27</v>
      </c>
      <c r="O91" s="48" t="s">
        <v>28</v>
      </c>
      <c r="P91" s="47">
        <f>170000*2</f>
        <v>340000</v>
      </c>
      <c r="Q91" s="63"/>
      <c r="R91" s="70"/>
      <c r="S91" s="314"/>
      <c r="T91" s="49">
        <f t="shared" si="27"/>
        <v>8160000</v>
      </c>
      <c r="U91" s="49"/>
      <c r="V91" s="49"/>
      <c r="W91" s="49"/>
      <c r="X91" s="49"/>
      <c r="Y91" s="49"/>
      <c r="Z91" s="49"/>
      <c r="AA91" s="63"/>
      <c r="AB91" s="63"/>
      <c r="AC91" s="49">
        <f t="shared" si="26"/>
        <v>8160000</v>
      </c>
      <c r="AD91" s="34">
        <f>AD85-AD88</f>
        <v>0</v>
      </c>
    </row>
    <row r="92" spans="1:30">
      <c r="A92" s="54"/>
      <c r="B92" s="128" t="s">
        <v>113</v>
      </c>
      <c r="C92" s="4"/>
      <c r="D92" s="4"/>
      <c r="E92" s="4"/>
      <c r="F92" s="132">
        <v>1</v>
      </c>
      <c r="G92" s="133" t="s">
        <v>30</v>
      </c>
      <c r="H92" s="64" t="s">
        <v>27</v>
      </c>
      <c r="I92" s="134">
        <v>5</v>
      </c>
      <c r="J92" s="135" t="s">
        <v>31</v>
      </c>
      <c r="K92" s="64" t="s">
        <v>27</v>
      </c>
      <c r="L92" s="134">
        <v>24</v>
      </c>
      <c r="M92" s="135" t="s">
        <v>26</v>
      </c>
      <c r="N92" s="48" t="s">
        <v>27</v>
      </c>
      <c r="O92" s="48" t="s">
        <v>28</v>
      </c>
      <c r="P92" s="47">
        <v>530000</v>
      </c>
      <c r="Q92" s="63"/>
      <c r="R92" s="70"/>
      <c r="S92" s="332"/>
      <c r="T92" s="49">
        <f t="shared" ref="T92:T93" si="28">P92*L92*I92</f>
        <v>63600000</v>
      </c>
      <c r="U92" s="49"/>
      <c r="V92" s="49"/>
      <c r="W92" s="49"/>
      <c r="X92" s="49"/>
      <c r="Y92" s="49"/>
      <c r="Z92" s="49"/>
      <c r="AA92" s="63"/>
      <c r="AB92" s="63"/>
      <c r="AC92" s="49">
        <f t="shared" si="26"/>
        <v>63600000</v>
      </c>
      <c r="AD92" s="34">
        <f>AD91/3</f>
        <v>0</v>
      </c>
    </row>
    <row r="93" spans="1:30">
      <c r="A93" s="54"/>
      <c r="B93" s="128" t="s">
        <v>173</v>
      </c>
      <c r="C93" s="4"/>
      <c r="D93" s="4"/>
      <c r="E93" s="4"/>
      <c r="F93" s="132">
        <v>1</v>
      </c>
      <c r="G93" s="133" t="s">
        <v>30</v>
      </c>
      <c r="H93" s="64" t="s">
        <v>27</v>
      </c>
      <c r="I93" s="134">
        <v>4</v>
      </c>
      <c r="J93" s="135" t="s">
        <v>31</v>
      </c>
      <c r="K93" s="64" t="s">
        <v>27</v>
      </c>
      <c r="L93" s="134">
        <v>24</v>
      </c>
      <c r="M93" s="135" t="s">
        <v>26</v>
      </c>
      <c r="N93" s="48" t="s">
        <v>27</v>
      </c>
      <c r="O93" s="48" t="s">
        <v>28</v>
      </c>
      <c r="P93" s="47">
        <v>650000</v>
      </c>
      <c r="Q93" s="63"/>
      <c r="R93" s="70"/>
      <c r="S93" s="332"/>
      <c r="T93" s="49">
        <f t="shared" si="28"/>
        <v>62400000</v>
      </c>
      <c r="U93" s="49"/>
      <c r="V93" s="49"/>
      <c r="W93" s="49"/>
      <c r="X93" s="49"/>
      <c r="Y93" s="49"/>
      <c r="Z93" s="49"/>
      <c r="AA93" s="63"/>
      <c r="AB93" s="63"/>
      <c r="AC93" s="49">
        <f t="shared" ref="AC93" si="29">SUM(Q93:AB93)</f>
        <v>62400000</v>
      </c>
    </row>
    <row r="94" spans="1:30">
      <c r="A94" s="54"/>
      <c r="B94" s="128"/>
      <c r="C94" s="4"/>
      <c r="D94" s="4"/>
      <c r="E94" s="4"/>
      <c r="F94" s="4"/>
      <c r="G94" s="52"/>
      <c r="H94" s="52"/>
      <c r="I94" s="47"/>
      <c r="J94" s="48"/>
      <c r="K94" s="64"/>
      <c r="L94" s="47"/>
      <c r="M94" s="48"/>
      <c r="N94" s="64"/>
      <c r="O94" s="48"/>
      <c r="P94" s="47"/>
      <c r="Q94" s="63"/>
      <c r="R94" s="70"/>
      <c r="S94" s="332"/>
      <c r="T94" s="49"/>
      <c r="U94" s="49"/>
      <c r="V94" s="49"/>
      <c r="W94" s="49"/>
      <c r="X94" s="49"/>
      <c r="Y94" s="49"/>
      <c r="Z94" s="49"/>
      <c r="AA94" s="63"/>
      <c r="AB94" s="63"/>
      <c r="AC94" s="49">
        <f t="shared" si="26"/>
        <v>0</v>
      </c>
    </row>
    <row r="95" spans="1:30">
      <c r="A95" s="54"/>
      <c r="B95" s="137" t="s">
        <v>125</v>
      </c>
      <c r="C95" s="4"/>
      <c r="D95" s="4"/>
      <c r="E95" s="4"/>
      <c r="F95" s="4"/>
      <c r="G95" s="52"/>
      <c r="H95" s="52"/>
      <c r="I95" s="47"/>
      <c r="J95" s="48"/>
      <c r="K95" s="64"/>
      <c r="L95" s="47"/>
      <c r="M95" s="48"/>
      <c r="N95" s="64"/>
      <c r="O95" s="48"/>
      <c r="P95" s="47"/>
      <c r="Q95" s="63"/>
      <c r="R95" s="70"/>
      <c r="S95" s="332"/>
      <c r="T95" s="49"/>
      <c r="U95" s="49"/>
      <c r="V95" s="49"/>
      <c r="W95" s="49"/>
      <c r="X95" s="49"/>
      <c r="Y95" s="49"/>
      <c r="Z95" s="49"/>
      <c r="AA95" s="63"/>
      <c r="AB95" s="63"/>
      <c r="AC95" s="49">
        <f t="shared" si="26"/>
        <v>0</v>
      </c>
    </row>
    <row r="96" spans="1:30">
      <c r="A96" s="54"/>
      <c r="B96" s="128" t="s">
        <v>126</v>
      </c>
      <c r="C96" s="4"/>
      <c r="D96" s="4"/>
      <c r="E96" s="4"/>
      <c r="I96" s="132">
        <v>1</v>
      </c>
      <c r="J96" s="133" t="s">
        <v>30</v>
      </c>
      <c r="K96" s="64" t="s">
        <v>27</v>
      </c>
      <c r="L96" s="134">
        <v>3</v>
      </c>
      <c r="M96" s="135" t="s">
        <v>26</v>
      </c>
      <c r="N96" s="48" t="s">
        <v>27</v>
      </c>
      <c r="O96" s="48" t="s">
        <v>28</v>
      </c>
      <c r="P96" s="47">
        <v>6595000</v>
      </c>
      <c r="Q96" s="63"/>
      <c r="R96" s="70"/>
      <c r="S96" s="332"/>
      <c r="T96" s="49">
        <f t="shared" ref="T96:T100" si="30">P96*L96*I96</f>
        <v>19785000</v>
      </c>
      <c r="U96" s="49"/>
      <c r="V96" s="49"/>
      <c r="W96" s="49"/>
      <c r="X96" s="49"/>
      <c r="Y96" s="49"/>
      <c r="Z96" s="49"/>
      <c r="AA96" s="63"/>
      <c r="AB96" s="63"/>
      <c r="AC96" s="49">
        <f t="shared" si="26"/>
        <v>19785000</v>
      </c>
      <c r="AD96" s="34">
        <f>SUM(AC96:AC100)</f>
        <v>35715000</v>
      </c>
    </row>
    <row r="97" spans="1:30">
      <c r="A97" s="54"/>
      <c r="B97" s="128" t="s">
        <v>609</v>
      </c>
      <c r="C97" s="4"/>
      <c r="D97" s="4"/>
      <c r="E97" s="4"/>
      <c r="F97" s="47"/>
      <c r="G97" s="48"/>
      <c r="H97" s="48"/>
      <c r="I97" s="132">
        <v>1</v>
      </c>
      <c r="J97" s="133" t="s">
        <v>30</v>
      </c>
      <c r="K97" s="64" t="s">
        <v>27</v>
      </c>
      <c r="L97" s="134">
        <v>3</v>
      </c>
      <c r="M97" s="135" t="s">
        <v>26</v>
      </c>
      <c r="N97" s="48" t="s">
        <v>27</v>
      </c>
      <c r="O97" s="48" t="s">
        <v>28</v>
      </c>
      <c r="P97" s="47">
        <f>174000*2</f>
        <v>348000</v>
      </c>
      <c r="Q97" s="63"/>
      <c r="R97" s="70"/>
      <c r="S97" s="314"/>
      <c r="T97" s="49">
        <f t="shared" si="30"/>
        <v>1044000</v>
      </c>
      <c r="U97" s="49"/>
      <c r="V97" s="49"/>
      <c r="W97" s="49"/>
      <c r="X97" s="49"/>
      <c r="Y97" s="49"/>
      <c r="Z97" s="49"/>
      <c r="AA97" s="63"/>
      <c r="AB97" s="63"/>
      <c r="AC97" s="49">
        <f t="shared" ref="AC97:AC98" si="31">SUM(Q97:AB97)</f>
        <v>1044000</v>
      </c>
    </row>
    <row r="98" spans="1:30">
      <c r="A98" s="54"/>
      <c r="B98" s="128" t="s">
        <v>611</v>
      </c>
      <c r="C98" s="4"/>
      <c r="D98" s="4"/>
      <c r="E98" s="4"/>
      <c r="I98" s="132">
        <v>1</v>
      </c>
      <c r="J98" s="133" t="s">
        <v>30</v>
      </c>
      <c r="K98" s="64" t="s">
        <v>27</v>
      </c>
      <c r="L98" s="134">
        <v>3</v>
      </c>
      <c r="M98" s="135" t="s">
        <v>26</v>
      </c>
      <c r="N98" s="48" t="s">
        <v>27</v>
      </c>
      <c r="O98" s="48" t="s">
        <v>28</v>
      </c>
      <c r="P98" s="47">
        <f>2*171000</f>
        <v>342000</v>
      </c>
      <c r="Q98" s="63"/>
      <c r="R98" s="70"/>
      <c r="S98" s="314"/>
      <c r="T98" s="49">
        <f t="shared" si="30"/>
        <v>1026000</v>
      </c>
      <c r="U98" s="49"/>
      <c r="V98" s="49"/>
      <c r="W98" s="49"/>
      <c r="X98" s="49"/>
      <c r="Y98" s="49"/>
      <c r="Z98" s="49"/>
      <c r="AA98" s="63"/>
      <c r="AB98" s="63"/>
      <c r="AC98" s="49">
        <f t="shared" si="31"/>
        <v>1026000</v>
      </c>
    </row>
    <row r="99" spans="1:30">
      <c r="A99" s="54"/>
      <c r="B99" s="128" t="s">
        <v>113</v>
      </c>
      <c r="C99" s="4"/>
      <c r="D99" s="4"/>
      <c r="E99" s="4"/>
      <c r="F99" s="132">
        <v>1</v>
      </c>
      <c r="G99" s="133" t="s">
        <v>30</v>
      </c>
      <c r="H99" s="64" t="s">
        <v>27</v>
      </c>
      <c r="I99" s="134">
        <v>5</v>
      </c>
      <c r="J99" s="135" t="s">
        <v>31</v>
      </c>
      <c r="K99" s="64" t="s">
        <v>27</v>
      </c>
      <c r="L99" s="134">
        <v>3</v>
      </c>
      <c r="M99" s="135" t="s">
        <v>26</v>
      </c>
      <c r="N99" s="48" t="s">
        <v>27</v>
      </c>
      <c r="O99" s="48" t="s">
        <v>28</v>
      </c>
      <c r="P99" s="47">
        <v>380000</v>
      </c>
      <c r="Q99" s="63"/>
      <c r="R99" s="70"/>
      <c r="S99" s="332"/>
      <c r="T99" s="49">
        <f t="shared" si="30"/>
        <v>5700000</v>
      </c>
      <c r="U99" s="49"/>
      <c r="V99" s="49"/>
      <c r="W99" s="49"/>
      <c r="X99" s="49"/>
      <c r="Y99" s="49"/>
      <c r="Z99" s="49"/>
      <c r="AA99" s="63"/>
      <c r="AB99" s="63"/>
      <c r="AC99" s="49">
        <f t="shared" si="26"/>
        <v>5700000</v>
      </c>
    </row>
    <row r="100" spans="1:30">
      <c r="A100" s="54"/>
      <c r="B100" s="128" t="s">
        <v>127</v>
      </c>
      <c r="C100" s="4"/>
      <c r="D100" s="4"/>
      <c r="E100" s="4"/>
      <c r="F100" s="132">
        <v>1</v>
      </c>
      <c r="G100" s="133" t="s">
        <v>30</v>
      </c>
      <c r="H100" s="64" t="s">
        <v>27</v>
      </c>
      <c r="I100" s="134">
        <v>4</v>
      </c>
      <c r="J100" s="135" t="s">
        <v>31</v>
      </c>
      <c r="K100" s="64" t="s">
        <v>27</v>
      </c>
      <c r="L100" s="134">
        <v>3</v>
      </c>
      <c r="M100" s="135" t="s">
        <v>26</v>
      </c>
      <c r="N100" s="48" t="s">
        <v>27</v>
      </c>
      <c r="O100" s="48" t="s">
        <v>28</v>
      </c>
      <c r="P100" s="47">
        <v>680000</v>
      </c>
      <c r="Q100" s="63"/>
      <c r="R100" s="70"/>
      <c r="S100" s="332"/>
      <c r="T100" s="49">
        <f t="shared" si="30"/>
        <v>8160000</v>
      </c>
      <c r="U100" s="49"/>
      <c r="V100" s="49"/>
      <c r="W100" s="49"/>
      <c r="X100" s="49"/>
      <c r="Y100" s="49"/>
      <c r="Z100" s="49"/>
      <c r="AA100" s="63"/>
      <c r="AB100" s="63"/>
      <c r="AC100" s="49">
        <f t="shared" si="26"/>
        <v>8160000</v>
      </c>
    </row>
    <row r="101" spans="1:30">
      <c r="A101" s="54"/>
      <c r="B101" s="128"/>
      <c r="C101" s="4"/>
      <c r="D101" s="4"/>
      <c r="E101" s="4"/>
      <c r="F101" s="4"/>
      <c r="G101" s="52"/>
      <c r="H101" s="52"/>
      <c r="I101" s="47"/>
      <c r="J101" s="48"/>
      <c r="K101" s="64"/>
      <c r="L101" s="47"/>
      <c r="M101" s="48"/>
      <c r="N101" s="64"/>
      <c r="O101" s="48"/>
      <c r="P101" s="47"/>
      <c r="Q101" s="63"/>
      <c r="R101" s="70"/>
      <c r="S101" s="332"/>
      <c r="T101" s="49"/>
      <c r="U101" s="49"/>
      <c r="V101" s="49"/>
      <c r="W101" s="49"/>
      <c r="X101" s="49"/>
      <c r="Y101" s="49"/>
      <c r="Z101" s="49"/>
      <c r="AA101" s="63"/>
      <c r="AB101" s="63"/>
      <c r="AC101" s="49">
        <f t="shared" si="26"/>
        <v>0</v>
      </c>
    </row>
    <row r="102" spans="1:30">
      <c r="A102" s="54"/>
      <c r="B102" s="137" t="s">
        <v>128</v>
      </c>
      <c r="C102" s="4"/>
      <c r="D102" s="4"/>
      <c r="E102" s="4"/>
      <c r="F102" s="4"/>
      <c r="G102" s="52"/>
      <c r="H102" s="52"/>
      <c r="I102" s="47"/>
      <c r="J102" s="48"/>
      <c r="K102" s="64"/>
      <c r="L102" s="47"/>
      <c r="M102" s="48"/>
      <c r="N102" s="64"/>
      <c r="O102" s="48"/>
      <c r="P102" s="47"/>
      <c r="Q102" s="63"/>
      <c r="R102" s="70"/>
      <c r="S102" s="332"/>
      <c r="T102" s="49">
        <f t="shared" ref="T102:T108" si="32">P102*L102*I102</f>
        <v>0</v>
      </c>
      <c r="U102" s="49"/>
      <c r="V102" s="49"/>
      <c r="W102" s="49"/>
      <c r="X102" s="49"/>
      <c r="Y102" s="49"/>
      <c r="Z102" s="49"/>
      <c r="AA102" s="63"/>
      <c r="AB102" s="63"/>
      <c r="AC102" s="49">
        <f t="shared" si="26"/>
        <v>0</v>
      </c>
    </row>
    <row r="103" spans="1:30">
      <c r="A103" s="54"/>
      <c r="B103" s="128" t="s">
        <v>618</v>
      </c>
      <c r="C103" s="4"/>
      <c r="D103" s="4"/>
      <c r="E103" s="4"/>
      <c r="F103" s="47"/>
      <c r="G103" s="48"/>
      <c r="H103" s="48"/>
      <c r="I103" s="132">
        <v>2</v>
      </c>
      <c r="J103" s="133" t="s">
        <v>30</v>
      </c>
      <c r="K103" s="64" t="s">
        <v>27</v>
      </c>
      <c r="L103" s="134">
        <v>2</v>
      </c>
      <c r="M103" s="135" t="s">
        <v>26</v>
      </c>
      <c r="N103" s="48" t="s">
        <v>27</v>
      </c>
      <c r="O103" s="48" t="s">
        <v>28</v>
      </c>
      <c r="P103" s="47">
        <v>7500000</v>
      </c>
      <c r="Q103" s="63"/>
      <c r="R103" s="70"/>
      <c r="S103" s="332"/>
      <c r="T103" s="49">
        <f>P103*L103*I103</f>
        <v>30000000</v>
      </c>
      <c r="U103" s="49"/>
      <c r="V103" s="49"/>
      <c r="W103" s="49"/>
      <c r="X103" s="49"/>
      <c r="Y103" s="49"/>
      <c r="Z103" s="49"/>
      <c r="AA103" s="63"/>
      <c r="AB103" s="63"/>
      <c r="AC103" s="49">
        <f t="shared" si="26"/>
        <v>30000000</v>
      </c>
      <c r="AD103" s="34">
        <f>SUM(AC103:AC108)</f>
        <v>59944000</v>
      </c>
    </row>
    <row r="104" spans="1:30">
      <c r="A104" s="54"/>
      <c r="B104" s="128" t="s">
        <v>609</v>
      </c>
      <c r="C104" s="4"/>
      <c r="D104" s="4"/>
      <c r="E104" s="4"/>
      <c r="F104" s="47"/>
      <c r="G104" s="48"/>
      <c r="H104" s="48"/>
      <c r="I104" s="132">
        <v>2</v>
      </c>
      <c r="J104" s="133" t="s">
        <v>30</v>
      </c>
      <c r="K104" s="64" t="s">
        <v>27</v>
      </c>
      <c r="L104" s="134">
        <v>2</v>
      </c>
      <c r="M104" s="135" t="s">
        <v>26</v>
      </c>
      <c r="N104" s="48" t="s">
        <v>27</v>
      </c>
      <c r="O104" s="48" t="s">
        <v>28</v>
      </c>
      <c r="P104" s="47">
        <f>174000*2</f>
        <v>348000</v>
      </c>
      <c r="Q104" s="63"/>
      <c r="R104" s="70"/>
      <c r="S104" s="314"/>
      <c r="T104" s="49">
        <f t="shared" ref="T104:T105" si="33">P104*L104*I104</f>
        <v>1392000</v>
      </c>
      <c r="U104" s="49"/>
      <c r="V104" s="49"/>
      <c r="W104" s="49"/>
      <c r="X104" s="49"/>
      <c r="Y104" s="49"/>
      <c r="Z104" s="49"/>
      <c r="AA104" s="63"/>
      <c r="AB104" s="63"/>
      <c r="AC104" s="49">
        <f t="shared" ref="AC104:AC105" si="34">SUM(Q104:AB104)</f>
        <v>1392000</v>
      </c>
    </row>
    <row r="105" spans="1:30">
      <c r="A105" s="54"/>
      <c r="B105" s="128" t="s">
        <v>612</v>
      </c>
      <c r="C105" s="4"/>
      <c r="D105" s="4"/>
      <c r="E105" s="4"/>
      <c r="I105" s="132">
        <v>2</v>
      </c>
      <c r="J105" s="133" t="s">
        <v>30</v>
      </c>
      <c r="K105" s="64" t="s">
        <v>27</v>
      </c>
      <c r="L105" s="134">
        <v>2</v>
      </c>
      <c r="M105" s="135" t="s">
        <v>26</v>
      </c>
      <c r="N105" s="48" t="s">
        <v>27</v>
      </c>
      <c r="O105" s="48" t="s">
        <v>28</v>
      </c>
      <c r="P105" s="47">
        <f>354000*2</f>
        <v>708000</v>
      </c>
      <c r="Q105" s="63"/>
      <c r="R105" s="70"/>
      <c r="S105" s="314"/>
      <c r="T105" s="49">
        <f t="shared" si="33"/>
        <v>2832000</v>
      </c>
      <c r="U105" s="49"/>
      <c r="V105" s="49"/>
      <c r="W105" s="49"/>
      <c r="X105" s="49"/>
      <c r="Y105" s="49"/>
      <c r="Z105" s="49"/>
      <c r="AA105" s="63"/>
      <c r="AB105" s="63"/>
      <c r="AC105" s="49">
        <f t="shared" si="34"/>
        <v>2832000</v>
      </c>
    </row>
    <row r="106" spans="1:30">
      <c r="A106" s="54"/>
      <c r="B106" s="128" t="s">
        <v>113</v>
      </c>
      <c r="C106" s="4"/>
      <c r="D106" s="4"/>
      <c r="E106" s="4"/>
      <c r="F106" s="132">
        <v>2</v>
      </c>
      <c r="G106" s="133" t="s">
        <v>30</v>
      </c>
      <c r="H106" s="64" t="s">
        <v>27</v>
      </c>
      <c r="I106" s="134">
        <v>6</v>
      </c>
      <c r="J106" s="135" t="s">
        <v>31</v>
      </c>
      <c r="K106" s="64" t="s">
        <v>27</v>
      </c>
      <c r="L106" s="134">
        <v>2</v>
      </c>
      <c r="M106" s="135" t="s">
        <v>26</v>
      </c>
      <c r="N106" s="48" t="s">
        <v>27</v>
      </c>
      <c r="O106" s="48" t="s">
        <v>28</v>
      </c>
      <c r="P106" s="47">
        <v>580000</v>
      </c>
      <c r="Q106" s="63"/>
      <c r="R106" s="70"/>
      <c r="S106" s="332"/>
      <c r="T106" s="49">
        <f>P106*L106*I106*F106</f>
        <v>13920000</v>
      </c>
      <c r="U106" s="49"/>
      <c r="V106" s="49"/>
      <c r="W106" s="49"/>
      <c r="X106" s="49"/>
      <c r="Y106" s="49"/>
      <c r="Z106" s="49"/>
      <c r="AA106" s="63"/>
      <c r="AB106" s="63"/>
      <c r="AC106" s="49">
        <f>SUM(Q106:AB106)</f>
        <v>13920000</v>
      </c>
    </row>
    <row r="107" spans="1:30">
      <c r="A107" s="54"/>
      <c r="B107" s="128" t="s">
        <v>127</v>
      </c>
      <c r="C107" s="4"/>
      <c r="D107" s="4"/>
      <c r="E107" s="4"/>
      <c r="F107" s="132">
        <v>1</v>
      </c>
      <c r="G107" s="133" t="s">
        <v>30</v>
      </c>
      <c r="H107" s="64" t="s">
        <v>27</v>
      </c>
      <c r="I107" s="134">
        <v>5</v>
      </c>
      <c r="J107" s="135" t="s">
        <v>31</v>
      </c>
      <c r="K107" s="64" t="s">
        <v>27</v>
      </c>
      <c r="L107" s="134">
        <v>2</v>
      </c>
      <c r="M107" s="135" t="s">
        <v>26</v>
      </c>
      <c r="N107" s="48" t="s">
        <v>27</v>
      </c>
      <c r="O107" s="48" t="s">
        <v>28</v>
      </c>
      <c r="P107" s="47">
        <v>720000</v>
      </c>
      <c r="Q107" s="63"/>
      <c r="R107" s="70"/>
      <c r="S107" s="332"/>
      <c r="T107" s="49">
        <f t="shared" si="32"/>
        <v>7200000</v>
      </c>
      <c r="U107" s="49"/>
      <c r="V107" s="49"/>
      <c r="W107" s="49"/>
      <c r="X107" s="49"/>
      <c r="Y107" s="49"/>
      <c r="Z107" s="49"/>
      <c r="AA107" s="63"/>
      <c r="AB107" s="63"/>
      <c r="AC107" s="49">
        <f t="shared" si="26"/>
        <v>7200000</v>
      </c>
    </row>
    <row r="108" spans="1:30">
      <c r="A108" s="54"/>
      <c r="B108" s="128" t="s">
        <v>114</v>
      </c>
      <c r="C108" s="4"/>
      <c r="D108" s="4"/>
      <c r="E108" s="4"/>
      <c r="F108" s="132">
        <v>1</v>
      </c>
      <c r="G108" s="133" t="s">
        <v>30</v>
      </c>
      <c r="H108" s="64" t="s">
        <v>27</v>
      </c>
      <c r="I108" s="134">
        <v>5</v>
      </c>
      <c r="J108" s="135" t="s">
        <v>31</v>
      </c>
      <c r="K108" s="64" t="s">
        <v>27</v>
      </c>
      <c r="L108" s="134">
        <v>2</v>
      </c>
      <c r="M108" s="135" t="s">
        <v>26</v>
      </c>
      <c r="N108" s="48" t="s">
        <v>27</v>
      </c>
      <c r="O108" s="48" t="s">
        <v>28</v>
      </c>
      <c r="P108" s="47">
        <v>460000</v>
      </c>
      <c r="Q108" s="63"/>
      <c r="R108" s="70"/>
      <c r="S108" s="332"/>
      <c r="T108" s="49">
        <f t="shared" si="32"/>
        <v>4600000</v>
      </c>
      <c r="U108" s="49"/>
      <c r="V108" s="49"/>
      <c r="W108" s="49"/>
      <c r="X108" s="49"/>
      <c r="Y108" s="49"/>
      <c r="Z108" s="49"/>
      <c r="AA108" s="63"/>
      <c r="AB108" s="63"/>
      <c r="AC108" s="49">
        <f t="shared" si="26"/>
        <v>4600000</v>
      </c>
    </row>
    <row r="109" spans="1:30">
      <c r="A109" s="54"/>
      <c r="B109" s="128"/>
      <c r="C109" s="4"/>
      <c r="D109" s="4"/>
      <c r="E109" s="4"/>
      <c r="F109" s="4"/>
      <c r="G109" s="52"/>
      <c r="H109" s="52"/>
      <c r="I109" s="47"/>
      <c r="J109" s="48"/>
      <c r="K109" s="64"/>
      <c r="L109" s="47"/>
      <c r="M109" s="48"/>
      <c r="N109" s="64"/>
      <c r="O109" s="48"/>
      <c r="P109" s="47"/>
      <c r="Q109" s="63"/>
      <c r="R109" s="70"/>
      <c r="S109" s="332"/>
      <c r="T109" s="49"/>
      <c r="U109" s="49"/>
      <c r="V109" s="49"/>
      <c r="W109" s="49"/>
      <c r="X109" s="49"/>
      <c r="Y109" s="49"/>
      <c r="Z109" s="49"/>
      <c r="AA109" s="63"/>
      <c r="AB109" s="63"/>
      <c r="AC109" s="49"/>
    </row>
    <row r="110" spans="1:30">
      <c r="A110" s="54"/>
      <c r="B110" s="137" t="s">
        <v>129</v>
      </c>
      <c r="C110" s="4"/>
      <c r="D110" s="4"/>
      <c r="E110" s="4"/>
      <c r="F110" s="4"/>
      <c r="G110" s="52"/>
      <c r="H110" s="52"/>
      <c r="I110" s="47"/>
      <c r="J110" s="48"/>
      <c r="K110" s="64"/>
      <c r="L110" s="47"/>
      <c r="M110" s="48"/>
      <c r="N110" s="64"/>
      <c r="O110" s="48"/>
      <c r="P110" s="47"/>
      <c r="Q110" s="63"/>
      <c r="R110" s="70"/>
      <c r="S110" s="332"/>
      <c r="T110" s="49"/>
      <c r="U110" s="49"/>
      <c r="V110" s="49"/>
      <c r="W110" s="49"/>
      <c r="X110" s="49"/>
      <c r="Y110" s="49"/>
      <c r="Z110" s="49"/>
      <c r="AA110" s="63"/>
      <c r="AB110" s="63"/>
      <c r="AC110" s="49">
        <f t="shared" si="26"/>
        <v>0</v>
      </c>
    </row>
    <row r="111" spans="1:30">
      <c r="A111" s="54"/>
      <c r="B111" s="128" t="s">
        <v>130</v>
      </c>
      <c r="C111" s="4"/>
      <c r="D111" s="4"/>
      <c r="E111" s="4"/>
      <c r="I111" s="132">
        <v>1</v>
      </c>
      <c r="J111" s="133" t="s">
        <v>30</v>
      </c>
      <c r="K111" s="64" t="s">
        <v>27</v>
      </c>
      <c r="L111" s="134">
        <v>3</v>
      </c>
      <c r="M111" s="135" t="s">
        <v>26</v>
      </c>
      <c r="N111" s="48" t="s">
        <v>27</v>
      </c>
      <c r="O111" s="48" t="s">
        <v>28</v>
      </c>
      <c r="P111" s="47">
        <v>4000000</v>
      </c>
      <c r="Q111" s="63"/>
      <c r="R111" s="70"/>
      <c r="S111" s="332"/>
      <c r="T111" s="49">
        <f t="shared" ref="T111:T115" si="35">P111*L111*I111</f>
        <v>12000000</v>
      </c>
      <c r="U111" s="49"/>
      <c r="V111" s="49"/>
      <c r="W111" s="49"/>
      <c r="X111" s="49"/>
      <c r="Y111" s="49"/>
      <c r="Z111" s="49"/>
      <c r="AA111" s="63"/>
      <c r="AB111" s="63"/>
      <c r="AC111" s="49">
        <f t="shared" si="26"/>
        <v>12000000</v>
      </c>
      <c r="AD111" s="34">
        <f>SUM(AC111:AC115)</f>
        <v>26649000</v>
      </c>
    </row>
    <row r="112" spans="1:30">
      <c r="A112" s="54"/>
      <c r="B112" s="128" t="s">
        <v>609</v>
      </c>
      <c r="C112" s="4"/>
      <c r="D112" s="4"/>
      <c r="E112" s="4"/>
      <c r="F112" s="47"/>
      <c r="G112" s="48"/>
      <c r="H112" s="48"/>
      <c r="I112" s="132">
        <v>1</v>
      </c>
      <c r="J112" s="133" t="s">
        <v>30</v>
      </c>
      <c r="K112" s="64" t="s">
        <v>27</v>
      </c>
      <c r="L112" s="134">
        <v>3</v>
      </c>
      <c r="M112" s="135" t="s">
        <v>26</v>
      </c>
      <c r="N112" s="48" t="s">
        <v>27</v>
      </c>
      <c r="O112" s="48" t="s">
        <v>28</v>
      </c>
      <c r="P112" s="47">
        <f>174000*2</f>
        <v>348000</v>
      </c>
      <c r="Q112" s="63"/>
      <c r="R112" s="70"/>
      <c r="S112" s="314"/>
      <c r="T112" s="49">
        <f t="shared" si="35"/>
        <v>1044000</v>
      </c>
      <c r="U112" s="49"/>
      <c r="V112" s="49"/>
      <c r="W112" s="49"/>
      <c r="X112" s="49"/>
      <c r="Y112" s="49"/>
      <c r="Z112" s="49"/>
      <c r="AA112" s="63"/>
      <c r="AB112" s="63"/>
      <c r="AC112" s="49">
        <f t="shared" si="26"/>
        <v>1044000</v>
      </c>
    </row>
    <row r="113" spans="1:30">
      <c r="A113" s="54"/>
      <c r="B113" s="128" t="s">
        <v>613</v>
      </c>
      <c r="C113" s="4"/>
      <c r="D113" s="4"/>
      <c r="E113" s="4"/>
      <c r="I113" s="132">
        <v>1</v>
      </c>
      <c r="J113" s="133" t="s">
        <v>30</v>
      </c>
      <c r="K113" s="64" t="s">
        <v>27</v>
      </c>
      <c r="L113" s="134">
        <v>3</v>
      </c>
      <c r="M113" s="135" t="s">
        <v>26</v>
      </c>
      <c r="N113" s="48" t="s">
        <v>27</v>
      </c>
      <c r="O113" s="48" t="s">
        <v>28</v>
      </c>
      <c r="P113" s="47">
        <f>2*128000</f>
        <v>256000</v>
      </c>
      <c r="Q113" s="63"/>
      <c r="R113" s="70"/>
      <c r="S113" s="314"/>
      <c r="T113" s="49">
        <f t="shared" si="35"/>
        <v>768000</v>
      </c>
      <c r="U113" s="49"/>
      <c r="V113" s="49"/>
      <c r="W113" s="49"/>
      <c r="X113" s="49"/>
      <c r="Y113" s="49"/>
      <c r="Z113" s="49"/>
      <c r="AA113" s="63"/>
      <c r="AB113" s="63"/>
      <c r="AC113" s="49">
        <f t="shared" si="26"/>
        <v>768000</v>
      </c>
    </row>
    <row r="114" spans="1:30">
      <c r="A114" s="54"/>
      <c r="B114" s="128" t="s">
        <v>113</v>
      </c>
      <c r="C114" s="4"/>
      <c r="D114" s="4"/>
      <c r="E114" s="4"/>
      <c r="F114" s="132">
        <v>1</v>
      </c>
      <c r="G114" s="133" t="s">
        <v>30</v>
      </c>
      <c r="H114" s="64" t="s">
        <v>27</v>
      </c>
      <c r="I114" s="134">
        <v>4</v>
      </c>
      <c r="J114" s="135" t="s">
        <v>31</v>
      </c>
      <c r="K114" s="64" t="s">
        <v>27</v>
      </c>
      <c r="L114" s="134">
        <v>3</v>
      </c>
      <c r="M114" s="135" t="s">
        <v>26</v>
      </c>
      <c r="N114" s="48" t="s">
        <v>27</v>
      </c>
      <c r="O114" s="48" t="s">
        <v>28</v>
      </c>
      <c r="P114" s="47">
        <v>430000</v>
      </c>
      <c r="Q114" s="63"/>
      <c r="R114" s="70"/>
      <c r="S114" s="332"/>
      <c r="T114" s="49">
        <f>P114*L114*I114*F114</f>
        <v>5160000</v>
      </c>
      <c r="U114" s="49"/>
      <c r="V114" s="49"/>
      <c r="W114" s="49"/>
      <c r="X114" s="49"/>
      <c r="Y114" s="49"/>
      <c r="Z114" s="49"/>
      <c r="AA114" s="63"/>
      <c r="AB114" s="63"/>
      <c r="AC114" s="49">
        <f t="shared" si="26"/>
        <v>5160000</v>
      </c>
    </row>
    <row r="115" spans="1:30">
      <c r="A115" s="54"/>
      <c r="B115" s="128" t="s">
        <v>127</v>
      </c>
      <c r="C115" s="4"/>
      <c r="D115" s="4"/>
      <c r="E115" s="4"/>
      <c r="F115" s="132">
        <v>1</v>
      </c>
      <c r="G115" s="133" t="s">
        <v>30</v>
      </c>
      <c r="H115" s="64" t="s">
        <v>27</v>
      </c>
      <c r="I115" s="134">
        <v>3</v>
      </c>
      <c r="J115" s="135" t="s">
        <v>31</v>
      </c>
      <c r="K115" s="64" t="s">
        <v>27</v>
      </c>
      <c r="L115" s="134">
        <v>3</v>
      </c>
      <c r="M115" s="135" t="s">
        <v>26</v>
      </c>
      <c r="N115" s="48" t="s">
        <v>27</v>
      </c>
      <c r="O115" s="48" t="s">
        <v>28</v>
      </c>
      <c r="P115" s="47">
        <v>853000</v>
      </c>
      <c r="Q115" s="63"/>
      <c r="R115" s="70"/>
      <c r="S115" s="332"/>
      <c r="T115" s="49">
        <f t="shared" si="35"/>
        <v>7677000</v>
      </c>
      <c r="U115" s="49"/>
      <c r="V115" s="49"/>
      <c r="W115" s="49"/>
      <c r="X115" s="49"/>
      <c r="Y115" s="49"/>
      <c r="Z115" s="49"/>
      <c r="AA115" s="63"/>
      <c r="AB115" s="63"/>
      <c r="AC115" s="49">
        <f t="shared" si="26"/>
        <v>7677000</v>
      </c>
    </row>
    <row r="116" spans="1:30">
      <c r="A116" s="54"/>
      <c r="B116" s="136"/>
      <c r="C116" s="4"/>
      <c r="D116" s="4"/>
      <c r="E116" s="4"/>
      <c r="F116" s="4"/>
      <c r="G116" s="52"/>
      <c r="H116" s="52"/>
      <c r="I116" s="47"/>
      <c r="J116" s="48"/>
      <c r="K116" s="64"/>
      <c r="L116" s="47"/>
      <c r="M116" s="48"/>
      <c r="N116" s="64"/>
      <c r="O116" s="48"/>
      <c r="P116" s="47"/>
      <c r="Q116" s="63"/>
      <c r="R116" s="70"/>
      <c r="S116" s="332"/>
      <c r="T116" s="49"/>
      <c r="U116" s="49"/>
      <c r="V116" s="49"/>
      <c r="W116" s="49"/>
      <c r="X116" s="49"/>
      <c r="Y116" s="49"/>
      <c r="Z116" s="49"/>
      <c r="AA116" s="63"/>
      <c r="AB116" s="63"/>
      <c r="AC116" s="49">
        <f t="shared" si="26"/>
        <v>0</v>
      </c>
    </row>
    <row r="117" spans="1:30">
      <c r="A117" s="54"/>
      <c r="B117" s="137" t="s">
        <v>131</v>
      </c>
      <c r="C117" s="4"/>
      <c r="D117" s="4"/>
      <c r="E117" s="4"/>
      <c r="F117" s="4"/>
      <c r="G117" s="52"/>
      <c r="H117" s="52"/>
      <c r="I117" s="47"/>
      <c r="J117" s="48"/>
      <c r="K117" s="64"/>
      <c r="L117" s="47"/>
      <c r="M117" s="48"/>
      <c r="N117" s="64"/>
      <c r="O117" s="48"/>
      <c r="P117" s="47"/>
      <c r="Q117" s="63"/>
      <c r="R117" s="70"/>
      <c r="S117" s="332"/>
      <c r="T117" s="49"/>
      <c r="U117" s="49"/>
      <c r="V117" s="49"/>
      <c r="W117" s="49"/>
      <c r="X117" s="49"/>
      <c r="Y117" s="49"/>
      <c r="Z117" s="49"/>
      <c r="AA117" s="63"/>
      <c r="AB117" s="63"/>
      <c r="AC117" s="49">
        <f t="shared" si="26"/>
        <v>0</v>
      </c>
    </row>
    <row r="118" spans="1:30">
      <c r="A118" s="54"/>
      <c r="B118" s="128" t="s">
        <v>619</v>
      </c>
      <c r="C118" s="4"/>
      <c r="D118" s="4"/>
      <c r="E118" s="4"/>
      <c r="F118" s="47"/>
      <c r="G118" s="48"/>
      <c r="H118" s="48"/>
      <c r="I118" s="132">
        <v>1</v>
      </c>
      <c r="J118" s="133" t="s">
        <v>30</v>
      </c>
      <c r="K118" s="64" t="s">
        <v>27</v>
      </c>
      <c r="L118" s="134">
        <v>2</v>
      </c>
      <c r="M118" s="135" t="s">
        <v>26</v>
      </c>
      <c r="N118" s="48" t="s">
        <v>27</v>
      </c>
      <c r="O118" s="48" t="s">
        <v>28</v>
      </c>
      <c r="P118" s="47">
        <v>8000000</v>
      </c>
      <c r="Q118" s="63"/>
      <c r="R118" s="70"/>
      <c r="S118" s="332"/>
      <c r="T118" s="49">
        <f t="shared" ref="T118:T122" si="36">P118*L118*I118</f>
        <v>16000000</v>
      </c>
      <c r="U118" s="49"/>
      <c r="V118" s="49"/>
      <c r="W118" s="49"/>
      <c r="X118" s="49"/>
      <c r="Y118" s="49"/>
      <c r="Z118" s="49"/>
      <c r="AA118" s="63"/>
      <c r="AB118" s="63"/>
      <c r="AC118" s="49">
        <f t="shared" si="26"/>
        <v>16000000</v>
      </c>
      <c r="AD118" s="34">
        <f>SUM(AC118:AC122)</f>
        <v>31976000</v>
      </c>
    </row>
    <row r="119" spans="1:30">
      <c r="A119" s="54"/>
      <c r="B119" s="128" t="s">
        <v>609</v>
      </c>
      <c r="C119" s="4"/>
      <c r="D119" s="4"/>
      <c r="E119" s="4"/>
      <c r="F119" s="47"/>
      <c r="G119" s="48"/>
      <c r="H119" s="48"/>
      <c r="I119" s="132">
        <v>1</v>
      </c>
      <c r="J119" s="133" t="s">
        <v>30</v>
      </c>
      <c r="K119" s="64" t="s">
        <v>27</v>
      </c>
      <c r="L119" s="134">
        <v>2</v>
      </c>
      <c r="M119" s="135" t="s">
        <v>26</v>
      </c>
      <c r="N119" s="48" t="s">
        <v>27</v>
      </c>
      <c r="O119" s="48" t="s">
        <v>28</v>
      </c>
      <c r="P119" s="47">
        <f>174000*2</f>
        <v>348000</v>
      </c>
      <c r="Q119" s="63"/>
      <c r="R119" s="70"/>
      <c r="S119" s="314"/>
      <c r="T119" s="49">
        <f t="shared" ref="T119:T120" si="37">P119*L119*I119</f>
        <v>696000</v>
      </c>
      <c r="U119" s="49"/>
      <c r="V119" s="49"/>
      <c r="W119" s="49"/>
      <c r="X119" s="49"/>
      <c r="Y119" s="49"/>
      <c r="Z119" s="49"/>
      <c r="AA119" s="63"/>
      <c r="AB119" s="63"/>
      <c r="AC119" s="49">
        <f t="shared" ref="AC119:AC120" si="38">SUM(Q119:AB119)</f>
        <v>696000</v>
      </c>
    </row>
    <row r="120" spans="1:30">
      <c r="A120" s="54"/>
      <c r="B120" s="128" t="s">
        <v>614</v>
      </c>
      <c r="C120" s="4"/>
      <c r="D120" s="4"/>
      <c r="E120" s="4"/>
      <c r="I120" s="132">
        <v>1</v>
      </c>
      <c r="J120" s="133" t="s">
        <v>30</v>
      </c>
      <c r="K120" s="64" t="s">
        <v>27</v>
      </c>
      <c r="L120" s="134">
        <v>2</v>
      </c>
      <c r="M120" s="135" t="s">
        <v>26</v>
      </c>
      <c r="N120" s="48" t="s">
        <v>27</v>
      </c>
      <c r="O120" s="48" t="s">
        <v>28</v>
      </c>
      <c r="P120" s="47">
        <f>130000*2</f>
        <v>260000</v>
      </c>
      <c r="Q120" s="63"/>
      <c r="R120" s="70"/>
      <c r="S120" s="314"/>
      <c r="T120" s="49">
        <f t="shared" si="37"/>
        <v>520000</v>
      </c>
      <c r="U120" s="49"/>
      <c r="V120" s="49"/>
      <c r="W120" s="49"/>
      <c r="X120" s="49"/>
      <c r="Y120" s="49"/>
      <c r="Z120" s="49"/>
      <c r="AA120" s="63"/>
      <c r="AB120" s="63"/>
      <c r="AC120" s="49">
        <f t="shared" si="38"/>
        <v>520000</v>
      </c>
    </row>
    <row r="121" spans="1:30">
      <c r="A121" s="54"/>
      <c r="B121" s="128" t="s">
        <v>113</v>
      </c>
      <c r="C121" s="4"/>
      <c r="D121" s="4"/>
      <c r="E121" s="4"/>
      <c r="F121" s="132">
        <v>1</v>
      </c>
      <c r="G121" s="133" t="s">
        <v>30</v>
      </c>
      <c r="H121" s="64" t="s">
        <v>27</v>
      </c>
      <c r="I121" s="134">
        <v>6</v>
      </c>
      <c r="J121" s="135" t="s">
        <v>31</v>
      </c>
      <c r="K121" s="64" t="s">
        <v>27</v>
      </c>
      <c r="L121" s="134">
        <v>2</v>
      </c>
      <c r="M121" s="135" t="s">
        <v>26</v>
      </c>
      <c r="N121" s="48" t="s">
        <v>27</v>
      </c>
      <c r="O121" s="48" t="s">
        <v>28</v>
      </c>
      <c r="P121" s="47">
        <v>480000</v>
      </c>
      <c r="Q121" s="63"/>
      <c r="R121" s="70"/>
      <c r="S121" s="332"/>
      <c r="T121" s="49">
        <f>P121*L121*I121*F121</f>
        <v>5760000</v>
      </c>
      <c r="U121" s="49"/>
      <c r="V121" s="49"/>
      <c r="W121" s="49"/>
      <c r="X121" s="49"/>
      <c r="Y121" s="49"/>
      <c r="Z121" s="49"/>
      <c r="AA121" s="63"/>
      <c r="AB121" s="63"/>
      <c r="AC121" s="49">
        <f t="shared" si="26"/>
        <v>5760000</v>
      </c>
    </row>
    <row r="122" spans="1:30">
      <c r="A122" s="54"/>
      <c r="B122" s="128" t="s">
        <v>127</v>
      </c>
      <c r="C122" s="4"/>
      <c r="D122" s="4"/>
      <c r="E122" s="4"/>
      <c r="F122" s="132">
        <v>1</v>
      </c>
      <c r="G122" s="133" t="s">
        <v>30</v>
      </c>
      <c r="H122" s="64" t="s">
        <v>27</v>
      </c>
      <c r="I122" s="134">
        <v>5</v>
      </c>
      <c r="J122" s="135" t="s">
        <v>31</v>
      </c>
      <c r="K122" s="64" t="s">
        <v>27</v>
      </c>
      <c r="L122" s="134">
        <v>2</v>
      </c>
      <c r="M122" s="135" t="s">
        <v>26</v>
      </c>
      <c r="N122" s="48" t="s">
        <v>27</v>
      </c>
      <c r="O122" s="48" t="s">
        <v>28</v>
      </c>
      <c r="P122" s="47">
        <v>900000</v>
      </c>
      <c r="Q122" s="63"/>
      <c r="R122" s="70"/>
      <c r="S122" s="332"/>
      <c r="T122" s="49">
        <f t="shared" si="36"/>
        <v>9000000</v>
      </c>
      <c r="U122" s="49"/>
      <c r="V122" s="49"/>
      <c r="W122" s="49"/>
      <c r="X122" s="49"/>
      <c r="Y122" s="49"/>
      <c r="Z122" s="49"/>
      <c r="AA122" s="63"/>
      <c r="AB122" s="63"/>
      <c r="AC122" s="49">
        <f t="shared" si="26"/>
        <v>9000000</v>
      </c>
    </row>
    <row r="123" spans="1:30">
      <c r="A123" s="54"/>
      <c r="B123" s="136"/>
      <c r="C123" s="4"/>
      <c r="D123" s="4"/>
      <c r="E123" s="4"/>
      <c r="F123" s="4"/>
      <c r="G123" s="52"/>
      <c r="H123" s="52"/>
      <c r="I123" s="47"/>
      <c r="J123" s="48"/>
      <c r="K123" s="64"/>
      <c r="L123" s="47"/>
      <c r="M123" s="48"/>
      <c r="N123" s="64"/>
      <c r="O123" s="48"/>
      <c r="P123" s="47"/>
      <c r="Q123" s="63"/>
      <c r="R123" s="70"/>
      <c r="S123" s="332"/>
      <c r="T123" s="49"/>
      <c r="U123" s="49"/>
      <c r="V123" s="49"/>
      <c r="W123" s="49"/>
      <c r="X123" s="49"/>
      <c r="Y123" s="49"/>
      <c r="Z123" s="49"/>
      <c r="AA123" s="63"/>
      <c r="AB123" s="63"/>
      <c r="AC123" s="49">
        <f t="shared" si="26"/>
        <v>0</v>
      </c>
    </row>
    <row r="124" spans="1:30">
      <c r="A124" s="54"/>
      <c r="B124" s="137" t="s">
        <v>132</v>
      </c>
      <c r="C124" s="4"/>
      <c r="D124" s="4"/>
      <c r="E124" s="4"/>
      <c r="F124" s="4"/>
      <c r="G124" s="52"/>
      <c r="H124" s="52"/>
      <c r="I124" s="47"/>
      <c r="J124" s="48"/>
      <c r="K124" s="64"/>
      <c r="L124" s="47"/>
      <c r="M124" s="48"/>
      <c r="N124" s="64"/>
      <c r="O124" s="48"/>
      <c r="P124" s="47"/>
      <c r="Q124" s="63"/>
      <c r="R124" s="70"/>
      <c r="S124" s="332"/>
      <c r="T124" s="49"/>
      <c r="U124" s="49"/>
      <c r="V124" s="49"/>
      <c r="W124" s="49"/>
      <c r="X124" s="49"/>
      <c r="Y124" s="49"/>
      <c r="Z124" s="49"/>
      <c r="AA124" s="63"/>
      <c r="AB124" s="63"/>
      <c r="AC124" s="49">
        <f t="shared" si="26"/>
        <v>0</v>
      </c>
    </row>
    <row r="125" spans="1:30">
      <c r="A125" s="54"/>
      <c r="B125" s="128" t="s">
        <v>133</v>
      </c>
      <c r="C125" s="4"/>
      <c r="D125" s="4"/>
      <c r="E125" s="4"/>
      <c r="I125" s="132">
        <v>2</v>
      </c>
      <c r="J125" s="133" t="s">
        <v>30</v>
      </c>
      <c r="K125" s="64" t="s">
        <v>27</v>
      </c>
      <c r="L125" s="134">
        <v>2</v>
      </c>
      <c r="M125" s="135" t="s">
        <v>26</v>
      </c>
      <c r="N125" s="48" t="s">
        <v>27</v>
      </c>
      <c r="O125" s="48" t="s">
        <v>28</v>
      </c>
      <c r="P125" s="47">
        <v>3000000</v>
      </c>
      <c r="Q125" s="63"/>
      <c r="R125" s="70"/>
      <c r="S125" s="332"/>
      <c r="T125" s="49">
        <f t="shared" ref="T125:T127" si="39">P125*L125*I125</f>
        <v>12000000</v>
      </c>
      <c r="U125" s="49"/>
      <c r="V125" s="49"/>
      <c r="W125" s="49"/>
      <c r="X125" s="49"/>
      <c r="Y125" s="49"/>
      <c r="Z125" s="49"/>
      <c r="AA125" s="63"/>
      <c r="AB125" s="63"/>
      <c r="AC125" s="49">
        <f t="shared" si="26"/>
        <v>12000000</v>
      </c>
      <c r="AD125" s="34">
        <f>SUM(AC125:AC129)</f>
        <v>26192000</v>
      </c>
    </row>
    <row r="126" spans="1:30">
      <c r="A126" s="54"/>
      <c r="B126" s="128" t="s">
        <v>609</v>
      </c>
      <c r="C126" s="4"/>
      <c r="D126" s="4"/>
      <c r="E126" s="4"/>
      <c r="F126" s="47"/>
      <c r="G126" s="48"/>
      <c r="H126" s="48"/>
      <c r="I126" s="132">
        <v>2</v>
      </c>
      <c r="J126" s="133" t="s">
        <v>30</v>
      </c>
      <c r="K126" s="64" t="s">
        <v>27</v>
      </c>
      <c r="L126" s="134">
        <v>2</v>
      </c>
      <c r="M126" s="135" t="s">
        <v>26</v>
      </c>
      <c r="N126" s="48" t="s">
        <v>27</v>
      </c>
      <c r="O126" s="48" t="s">
        <v>28</v>
      </c>
      <c r="P126" s="47">
        <f>174000*2</f>
        <v>348000</v>
      </c>
      <c r="Q126" s="63"/>
      <c r="R126" s="70"/>
      <c r="S126" s="314"/>
      <c r="T126" s="49">
        <f t="shared" si="39"/>
        <v>1392000</v>
      </c>
      <c r="U126" s="49"/>
      <c r="V126" s="49"/>
      <c r="W126" s="49"/>
      <c r="X126" s="49"/>
      <c r="Y126" s="49"/>
      <c r="Z126" s="49"/>
      <c r="AA126" s="63"/>
      <c r="AB126" s="63"/>
      <c r="AC126" s="49">
        <f t="shared" si="26"/>
        <v>1392000</v>
      </c>
    </row>
    <row r="127" spans="1:30">
      <c r="A127" s="54"/>
      <c r="B127" s="128" t="s">
        <v>615</v>
      </c>
      <c r="C127" s="4"/>
      <c r="D127" s="4"/>
      <c r="E127" s="4"/>
      <c r="I127" s="132">
        <v>2</v>
      </c>
      <c r="J127" s="133" t="s">
        <v>30</v>
      </c>
      <c r="K127" s="64" t="s">
        <v>27</v>
      </c>
      <c r="L127" s="134">
        <v>2</v>
      </c>
      <c r="M127" s="135" t="s">
        <v>26</v>
      </c>
      <c r="N127" s="48" t="s">
        <v>27</v>
      </c>
      <c r="O127" s="48" t="s">
        <v>28</v>
      </c>
      <c r="P127" s="47">
        <f>2*110000</f>
        <v>220000</v>
      </c>
      <c r="Q127" s="63"/>
      <c r="R127" s="70"/>
      <c r="S127" s="314"/>
      <c r="T127" s="49">
        <f t="shared" si="39"/>
        <v>880000</v>
      </c>
      <c r="U127" s="49"/>
      <c r="V127" s="49"/>
      <c r="W127" s="49"/>
      <c r="X127" s="49"/>
      <c r="Y127" s="49"/>
      <c r="Z127" s="49"/>
      <c r="AA127" s="63"/>
      <c r="AB127" s="63"/>
      <c r="AC127" s="49">
        <f t="shared" si="26"/>
        <v>880000</v>
      </c>
    </row>
    <row r="128" spans="1:30">
      <c r="A128" s="54"/>
      <c r="B128" s="128" t="s">
        <v>113</v>
      </c>
      <c r="C128" s="4"/>
      <c r="D128" s="4"/>
      <c r="E128" s="4"/>
      <c r="F128" s="132">
        <v>2</v>
      </c>
      <c r="G128" s="133" t="s">
        <v>30</v>
      </c>
      <c r="H128" s="64" t="s">
        <v>27</v>
      </c>
      <c r="I128" s="134">
        <v>4</v>
      </c>
      <c r="J128" s="135" t="s">
        <v>31</v>
      </c>
      <c r="K128" s="64" t="s">
        <v>27</v>
      </c>
      <c r="L128" s="134">
        <v>2</v>
      </c>
      <c r="M128" s="135" t="s">
        <v>26</v>
      </c>
      <c r="N128" s="48" t="s">
        <v>27</v>
      </c>
      <c r="O128" s="48" t="s">
        <v>28</v>
      </c>
      <c r="P128" s="47">
        <v>370000</v>
      </c>
      <c r="Q128" s="63"/>
      <c r="R128" s="70"/>
      <c r="S128" s="332"/>
      <c r="T128" s="49">
        <f>P128*L128*I128*F128</f>
        <v>5920000</v>
      </c>
      <c r="U128" s="49"/>
      <c r="V128" s="49"/>
      <c r="W128" s="49"/>
      <c r="X128" s="49"/>
      <c r="Y128" s="49"/>
      <c r="Z128" s="49"/>
      <c r="AA128" s="63"/>
      <c r="AB128" s="63"/>
      <c r="AC128" s="49">
        <f t="shared" si="26"/>
        <v>5920000</v>
      </c>
    </row>
    <row r="129" spans="1:30">
      <c r="A129" s="54"/>
      <c r="B129" s="128" t="s">
        <v>620</v>
      </c>
      <c r="C129" s="4"/>
      <c r="D129" s="4"/>
      <c r="E129" s="4"/>
      <c r="F129" s="132">
        <v>2</v>
      </c>
      <c r="G129" s="133" t="s">
        <v>30</v>
      </c>
      <c r="H129" s="64" t="s">
        <v>27</v>
      </c>
      <c r="I129" s="134">
        <v>3</v>
      </c>
      <c r="J129" s="135" t="s">
        <v>31</v>
      </c>
      <c r="K129" s="64" t="s">
        <v>27</v>
      </c>
      <c r="L129" s="134">
        <v>2</v>
      </c>
      <c r="M129" s="135" t="s">
        <v>26</v>
      </c>
      <c r="N129" s="48" t="s">
        <v>27</v>
      </c>
      <c r="O129" s="48" t="s">
        <v>28</v>
      </c>
      <c r="P129" s="47">
        <v>500000</v>
      </c>
      <c r="Q129" s="63"/>
      <c r="R129" s="70"/>
      <c r="S129" s="332"/>
      <c r="T129" s="49">
        <f>P129*L129*I129*F129</f>
        <v>6000000</v>
      </c>
      <c r="U129" s="49"/>
      <c r="V129" s="49"/>
      <c r="W129" s="49"/>
      <c r="X129" s="49"/>
      <c r="Y129" s="49"/>
      <c r="Z129" s="49"/>
      <c r="AA129" s="63"/>
      <c r="AB129" s="63"/>
      <c r="AC129" s="49">
        <f t="shared" si="26"/>
        <v>6000000</v>
      </c>
    </row>
    <row r="130" spans="1:30">
      <c r="A130" s="54"/>
      <c r="B130" s="111"/>
      <c r="C130" s="4"/>
      <c r="D130" s="4"/>
      <c r="E130" s="4"/>
      <c r="F130" s="4"/>
      <c r="G130" s="52"/>
      <c r="H130" s="52"/>
      <c r="I130" s="47"/>
      <c r="J130" s="48"/>
      <c r="K130" s="64"/>
      <c r="L130" s="47"/>
      <c r="M130" s="48"/>
      <c r="N130" s="64"/>
      <c r="O130" s="48"/>
      <c r="P130" s="47"/>
      <c r="Q130" s="63"/>
      <c r="R130" s="70"/>
      <c r="S130" s="332"/>
      <c r="T130" s="49"/>
      <c r="U130" s="49"/>
      <c r="V130" s="49"/>
      <c r="W130" s="49"/>
      <c r="X130" s="49"/>
      <c r="Y130" s="49"/>
      <c r="Z130" s="49"/>
      <c r="AA130" s="63"/>
      <c r="AB130" s="63"/>
      <c r="AC130" s="49">
        <f t="shared" si="26"/>
        <v>0</v>
      </c>
    </row>
    <row r="131" spans="1:30">
      <c r="A131" s="54"/>
      <c r="B131" s="127" t="s">
        <v>112</v>
      </c>
      <c r="C131" s="4"/>
      <c r="D131" s="4"/>
      <c r="E131" s="4"/>
      <c r="F131" s="4"/>
      <c r="G131" s="52"/>
      <c r="H131" s="52"/>
      <c r="I131" s="47"/>
      <c r="J131" s="48"/>
      <c r="K131" s="64"/>
      <c r="L131" s="47"/>
      <c r="M131" s="48"/>
      <c r="N131" s="64"/>
      <c r="O131" s="48"/>
      <c r="P131" s="47"/>
      <c r="Q131" s="63"/>
      <c r="R131" s="70"/>
      <c r="S131" s="332"/>
      <c r="T131" s="49"/>
      <c r="U131" s="49"/>
      <c r="V131" s="49"/>
      <c r="W131" s="49"/>
      <c r="X131" s="49"/>
      <c r="Y131" s="49"/>
      <c r="Z131" s="49"/>
      <c r="AA131" s="63"/>
      <c r="AB131" s="63"/>
      <c r="AC131" s="49">
        <f t="shared" si="26"/>
        <v>0</v>
      </c>
      <c r="AD131" s="34">
        <f>SUM(AC132:AC146)</f>
        <v>155780000</v>
      </c>
    </row>
    <row r="132" spans="1:30">
      <c r="A132" s="54"/>
      <c r="B132" s="128" t="s">
        <v>242</v>
      </c>
      <c r="C132" s="4"/>
      <c r="D132" s="4"/>
      <c r="E132" s="4"/>
      <c r="F132" s="47"/>
      <c r="G132" s="48"/>
      <c r="H132" s="48"/>
      <c r="I132" s="132">
        <v>1</v>
      </c>
      <c r="J132" s="133" t="s">
        <v>30</v>
      </c>
      <c r="K132" s="64" t="s">
        <v>27</v>
      </c>
      <c r="L132" s="134">
        <v>5</v>
      </c>
      <c r="M132" s="135" t="s">
        <v>26</v>
      </c>
      <c r="N132" s="48" t="s">
        <v>27</v>
      </c>
      <c r="O132" s="48" t="s">
        <v>28</v>
      </c>
      <c r="P132" s="47">
        <v>5834000</v>
      </c>
      <c r="Q132" s="63"/>
      <c r="R132" s="70"/>
      <c r="S132" s="332"/>
      <c r="T132" s="49">
        <f>P132*L132*I132</f>
        <v>29170000</v>
      </c>
      <c r="U132" s="49"/>
      <c r="V132" s="49"/>
      <c r="W132" s="49"/>
      <c r="X132" s="49"/>
      <c r="Y132" s="49"/>
      <c r="Z132" s="49"/>
      <c r="AA132" s="63"/>
      <c r="AB132" s="63"/>
      <c r="AC132" s="49">
        <f t="shared" si="26"/>
        <v>29170000</v>
      </c>
      <c r="AD132" s="34">
        <f>SUM(AC132:AC138)</f>
        <v>44900000</v>
      </c>
    </row>
    <row r="133" spans="1:30">
      <c r="A133" s="54"/>
      <c r="B133" s="128" t="s">
        <v>243</v>
      </c>
      <c r="C133" s="4"/>
      <c r="D133" s="4"/>
      <c r="E133" s="4"/>
      <c r="I133" s="132">
        <v>1</v>
      </c>
      <c r="J133" s="133" t="s">
        <v>30</v>
      </c>
      <c r="K133" s="64" t="s">
        <v>27</v>
      </c>
      <c r="L133" s="134">
        <v>5</v>
      </c>
      <c r="M133" s="135" t="s">
        <v>26</v>
      </c>
      <c r="N133" s="48" t="s">
        <v>27</v>
      </c>
      <c r="O133" s="48" t="s">
        <v>28</v>
      </c>
      <c r="P133" s="47">
        <v>200000</v>
      </c>
      <c r="Q133" s="63"/>
      <c r="R133" s="70"/>
      <c r="S133" s="332"/>
      <c r="T133" s="49">
        <f>P133*L133*I133</f>
        <v>1000000</v>
      </c>
      <c r="U133" s="49"/>
      <c r="V133" s="49"/>
      <c r="W133" s="49"/>
      <c r="X133" s="49"/>
      <c r="Y133" s="49"/>
      <c r="Z133" s="49"/>
      <c r="AA133" s="63"/>
      <c r="AB133" s="63"/>
      <c r="AC133" s="49">
        <f t="shared" ref="AC133" si="40">SUM(Q133:AB133)</f>
        <v>1000000</v>
      </c>
    </row>
    <row r="134" spans="1:30">
      <c r="A134" s="54"/>
      <c r="B134" s="128" t="s">
        <v>609</v>
      </c>
      <c r="C134" s="4"/>
      <c r="D134" s="4"/>
      <c r="E134" s="4"/>
      <c r="F134" s="47"/>
      <c r="G134" s="48"/>
      <c r="H134" s="48"/>
      <c r="I134" s="132">
        <v>1</v>
      </c>
      <c r="J134" s="133" t="s">
        <v>30</v>
      </c>
      <c r="K134" s="64" t="s">
        <v>27</v>
      </c>
      <c r="L134" s="134">
        <v>5</v>
      </c>
      <c r="M134" s="135" t="s">
        <v>26</v>
      </c>
      <c r="N134" s="48" t="s">
        <v>27</v>
      </c>
      <c r="O134" s="48" t="s">
        <v>28</v>
      </c>
      <c r="P134" s="47">
        <f>174000*2</f>
        <v>348000</v>
      </c>
      <c r="Q134" s="63"/>
      <c r="R134" s="70"/>
      <c r="S134" s="314"/>
      <c r="T134" s="49">
        <f t="shared" ref="T134:T135" si="41">P134*L134*I134</f>
        <v>1740000</v>
      </c>
      <c r="U134" s="49"/>
      <c r="V134" s="49"/>
      <c r="W134" s="49"/>
      <c r="X134" s="49"/>
      <c r="Y134" s="49"/>
      <c r="Z134" s="49"/>
      <c r="AA134" s="63"/>
      <c r="AB134" s="63"/>
      <c r="AC134" s="49">
        <f t="shared" ref="AC134:AC135" si="42">SUM(Q134:AB134)</f>
        <v>1740000</v>
      </c>
      <c r="AD134" s="34">
        <v>186936000</v>
      </c>
    </row>
    <row r="135" spans="1:30">
      <c r="A135" s="54"/>
      <c r="B135" s="128" t="s">
        <v>616</v>
      </c>
      <c r="C135" s="4"/>
      <c r="D135" s="4"/>
      <c r="E135" s="4"/>
      <c r="I135" s="132">
        <v>1</v>
      </c>
      <c r="J135" s="133" t="s">
        <v>30</v>
      </c>
      <c r="K135" s="64" t="s">
        <v>27</v>
      </c>
      <c r="L135" s="134">
        <v>5</v>
      </c>
      <c r="M135" s="135" t="s">
        <v>26</v>
      </c>
      <c r="N135" s="48" t="s">
        <v>27</v>
      </c>
      <c r="O135" s="48" t="s">
        <v>28</v>
      </c>
      <c r="P135" s="47">
        <f>2*94000</f>
        <v>188000</v>
      </c>
      <c r="Q135" s="63"/>
      <c r="R135" s="70"/>
      <c r="S135" s="314"/>
      <c r="T135" s="49">
        <f t="shared" si="41"/>
        <v>940000</v>
      </c>
      <c r="U135" s="49"/>
      <c r="V135" s="49"/>
      <c r="W135" s="49"/>
      <c r="X135" s="49"/>
      <c r="Y135" s="49"/>
      <c r="Z135" s="49"/>
      <c r="AA135" s="63"/>
      <c r="AB135" s="63"/>
      <c r="AC135" s="49">
        <f t="shared" si="42"/>
        <v>940000</v>
      </c>
      <c r="AD135" s="34">
        <f>AD131-AD134</f>
        <v>-31156000</v>
      </c>
    </row>
    <row r="136" spans="1:30">
      <c r="A136" s="54"/>
      <c r="B136" s="128" t="s">
        <v>113</v>
      </c>
      <c r="C136" s="4"/>
      <c r="D136" s="4"/>
      <c r="E136" s="4"/>
      <c r="F136" s="132">
        <v>1</v>
      </c>
      <c r="G136" s="133" t="s">
        <v>30</v>
      </c>
      <c r="H136" s="64" t="s">
        <v>27</v>
      </c>
      <c r="I136" s="134">
        <v>2</v>
      </c>
      <c r="J136" s="135" t="s">
        <v>31</v>
      </c>
      <c r="K136" s="64" t="s">
        <v>27</v>
      </c>
      <c r="L136" s="134">
        <v>5</v>
      </c>
      <c r="M136" s="135" t="s">
        <v>26</v>
      </c>
      <c r="N136" s="48" t="s">
        <v>27</v>
      </c>
      <c r="O136" s="48" t="s">
        <v>28</v>
      </c>
      <c r="P136" s="47">
        <v>370000</v>
      </c>
      <c r="Q136" s="63"/>
      <c r="R136" s="70"/>
      <c r="S136" s="332"/>
      <c r="T136" s="49">
        <f>P136*L136*I136*F136</f>
        <v>3700000</v>
      </c>
      <c r="U136" s="49"/>
      <c r="V136" s="49"/>
      <c r="W136" s="49"/>
      <c r="X136" s="49"/>
      <c r="Y136" s="49"/>
      <c r="Z136" s="49"/>
      <c r="AA136" s="63"/>
      <c r="AB136" s="63"/>
      <c r="AC136" s="49">
        <f t="shared" si="26"/>
        <v>3700000</v>
      </c>
      <c r="AD136" s="34">
        <f>AD135/6</f>
        <v>-5192666.666666667</v>
      </c>
    </row>
    <row r="137" spans="1:30">
      <c r="A137" s="54"/>
      <c r="B137" s="128" t="s">
        <v>621</v>
      </c>
      <c r="C137" s="4"/>
      <c r="D137" s="4"/>
      <c r="E137" s="4"/>
      <c r="F137" s="132">
        <v>1</v>
      </c>
      <c r="G137" s="133" t="s">
        <v>30</v>
      </c>
      <c r="H137" s="64" t="s">
        <v>27</v>
      </c>
      <c r="I137" s="134">
        <v>7</v>
      </c>
      <c r="J137" s="135" t="s">
        <v>31</v>
      </c>
      <c r="K137" s="64" t="s">
        <v>27</v>
      </c>
      <c r="L137" s="134">
        <v>5</v>
      </c>
      <c r="M137" s="135" t="s">
        <v>26</v>
      </c>
      <c r="N137" s="48" t="s">
        <v>27</v>
      </c>
      <c r="O137" s="48" t="s">
        <v>28</v>
      </c>
      <c r="P137" s="47">
        <v>110000</v>
      </c>
      <c r="Q137" s="63"/>
      <c r="R137" s="70"/>
      <c r="S137" s="332"/>
      <c r="T137" s="49">
        <f>P137*L137*I137*F137</f>
        <v>3850000</v>
      </c>
      <c r="U137" s="49"/>
      <c r="V137" s="49"/>
      <c r="W137" s="49"/>
      <c r="X137" s="49"/>
      <c r="Y137" s="49"/>
      <c r="Z137" s="49"/>
      <c r="AA137" s="63"/>
      <c r="AB137" s="63"/>
      <c r="AC137" s="49">
        <f t="shared" ref="AC137" si="43">SUM(Q137:AB137)</f>
        <v>3850000</v>
      </c>
      <c r="AD137" s="34">
        <f>P132-AD136</f>
        <v>11026666.666666668</v>
      </c>
    </row>
    <row r="138" spans="1:30">
      <c r="A138" s="54"/>
      <c r="B138" s="128" t="s">
        <v>173</v>
      </c>
      <c r="C138" s="4"/>
      <c r="D138" s="4"/>
      <c r="E138" s="4"/>
      <c r="F138" s="132">
        <v>1</v>
      </c>
      <c r="G138" s="133" t="s">
        <v>30</v>
      </c>
      <c r="H138" s="64" t="s">
        <v>27</v>
      </c>
      <c r="I138" s="134">
        <v>2</v>
      </c>
      <c r="J138" s="135" t="s">
        <v>31</v>
      </c>
      <c r="K138" s="64" t="s">
        <v>27</v>
      </c>
      <c r="L138" s="134">
        <v>5</v>
      </c>
      <c r="M138" s="135" t="s">
        <v>26</v>
      </c>
      <c r="N138" s="48" t="s">
        <v>27</v>
      </c>
      <c r="O138" s="48" t="s">
        <v>28</v>
      </c>
      <c r="P138" s="47">
        <v>450000</v>
      </c>
      <c r="Q138" s="63"/>
      <c r="R138" s="70"/>
      <c r="S138" s="332"/>
      <c r="T138" s="49">
        <f>P138*L138*I138*F138</f>
        <v>4500000</v>
      </c>
      <c r="U138" s="49"/>
      <c r="V138" s="49"/>
      <c r="W138" s="49"/>
      <c r="X138" s="49"/>
      <c r="Y138" s="49"/>
      <c r="Z138" s="49"/>
      <c r="AA138" s="63"/>
      <c r="AB138" s="63"/>
      <c r="AC138" s="49">
        <f t="shared" ref="AC138" si="44">SUM(Q138:AB138)</f>
        <v>4500000</v>
      </c>
    </row>
    <row r="139" spans="1:30">
      <c r="A139" s="54"/>
      <c r="B139" s="129"/>
      <c r="C139" s="4"/>
      <c r="D139" s="4"/>
      <c r="E139" s="4"/>
      <c r="F139" s="4"/>
      <c r="G139" s="52"/>
      <c r="H139" s="52"/>
      <c r="I139" s="47"/>
      <c r="J139" s="48"/>
      <c r="K139" s="64"/>
      <c r="L139" s="47"/>
      <c r="M139" s="48"/>
      <c r="N139" s="64"/>
      <c r="O139" s="48"/>
      <c r="P139" s="47"/>
      <c r="Q139" s="63"/>
      <c r="R139" s="70"/>
      <c r="S139" s="332"/>
      <c r="T139" s="49"/>
      <c r="U139" s="49"/>
      <c r="V139" s="49"/>
      <c r="W139" s="49"/>
      <c r="X139" s="49"/>
      <c r="Y139" s="49"/>
      <c r="Z139" s="49"/>
      <c r="AA139" s="63"/>
      <c r="AB139" s="63"/>
      <c r="AC139" s="49"/>
    </row>
    <row r="140" spans="1:30">
      <c r="A140" s="54"/>
      <c r="B140" s="130" t="s">
        <v>119</v>
      </c>
      <c r="C140" s="4"/>
      <c r="D140" s="4"/>
      <c r="E140" s="4"/>
      <c r="F140" s="4"/>
      <c r="G140" s="52"/>
      <c r="H140" s="52"/>
      <c r="I140" s="47"/>
      <c r="J140" s="48"/>
      <c r="K140" s="64"/>
      <c r="L140" s="47"/>
      <c r="M140" s="48"/>
      <c r="N140" s="64"/>
      <c r="O140" s="48"/>
      <c r="P140" s="47"/>
      <c r="Q140" s="63"/>
      <c r="R140" s="70"/>
      <c r="S140" s="332"/>
      <c r="T140" s="49"/>
      <c r="U140" s="49"/>
      <c r="V140" s="49"/>
      <c r="W140" s="49"/>
      <c r="X140" s="49"/>
      <c r="Y140" s="49"/>
      <c r="Z140" s="49"/>
      <c r="AA140" s="63"/>
      <c r="AB140" s="63"/>
      <c r="AC140" s="49">
        <f>SUM(Q140:AB140)</f>
        <v>0</v>
      </c>
    </row>
    <row r="141" spans="1:30">
      <c r="A141" s="54"/>
      <c r="B141" s="128" t="s">
        <v>117</v>
      </c>
      <c r="C141" s="4"/>
      <c r="D141" s="4"/>
      <c r="E141" s="4"/>
      <c r="I141" s="132">
        <v>2</v>
      </c>
      <c r="J141" s="133" t="s">
        <v>30</v>
      </c>
      <c r="K141" s="64" t="s">
        <v>27</v>
      </c>
      <c r="L141" s="134">
        <v>5</v>
      </c>
      <c r="M141" s="135" t="s">
        <v>26</v>
      </c>
      <c r="N141" s="48" t="s">
        <v>27</v>
      </c>
      <c r="O141" s="48" t="s">
        <v>28</v>
      </c>
      <c r="P141" s="47">
        <v>7000000</v>
      </c>
      <c r="Q141" s="63"/>
      <c r="R141" s="70"/>
      <c r="S141" s="332"/>
      <c r="T141" s="49">
        <f>P141*L141*I141</f>
        <v>70000000</v>
      </c>
      <c r="U141" s="49"/>
      <c r="V141" s="49"/>
      <c r="W141" s="49"/>
      <c r="X141" s="49"/>
      <c r="Y141" s="49"/>
      <c r="Z141" s="49"/>
      <c r="AA141" s="63"/>
      <c r="AB141" s="63"/>
      <c r="AC141" s="49">
        <f>SUM(Q141:AB141)</f>
        <v>70000000</v>
      </c>
      <c r="AD141" s="34">
        <f>SUM(AC141:AC146)</f>
        <v>110880000</v>
      </c>
    </row>
    <row r="142" spans="1:30">
      <c r="A142" s="54"/>
      <c r="B142" s="128" t="s">
        <v>609</v>
      </c>
      <c r="C142" s="4"/>
      <c r="D142" s="4"/>
      <c r="E142" s="4"/>
      <c r="F142" s="47"/>
      <c r="G142" s="48"/>
      <c r="H142" s="48"/>
      <c r="I142" s="132">
        <v>2</v>
      </c>
      <c r="J142" s="133" t="s">
        <v>30</v>
      </c>
      <c r="K142" s="64" t="s">
        <v>27</v>
      </c>
      <c r="L142" s="134">
        <v>5</v>
      </c>
      <c r="M142" s="135" t="s">
        <v>26</v>
      </c>
      <c r="N142" s="48" t="s">
        <v>27</v>
      </c>
      <c r="O142" s="48" t="s">
        <v>28</v>
      </c>
      <c r="P142" s="47">
        <f>174000*2</f>
        <v>348000</v>
      </c>
      <c r="Q142" s="63"/>
      <c r="R142" s="70"/>
      <c r="S142" s="314"/>
      <c r="T142" s="49">
        <f t="shared" ref="T142:T143" si="45">P142*L142*I142</f>
        <v>3480000</v>
      </c>
      <c r="U142" s="49"/>
      <c r="V142" s="49"/>
      <c r="W142" s="49"/>
      <c r="X142" s="49"/>
      <c r="Y142" s="49"/>
      <c r="Z142" s="49"/>
      <c r="AA142" s="63"/>
      <c r="AB142" s="63"/>
      <c r="AC142" s="49">
        <f t="shared" ref="AC142:AC143" si="46">SUM(Q142:AB142)</f>
        <v>3480000</v>
      </c>
    </row>
    <row r="143" spans="1:30">
      <c r="A143" s="54"/>
      <c r="B143" s="128" t="s">
        <v>610</v>
      </c>
      <c r="C143" s="4"/>
      <c r="D143" s="4"/>
      <c r="E143" s="4"/>
      <c r="I143" s="132">
        <v>2</v>
      </c>
      <c r="J143" s="133" t="s">
        <v>30</v>
      </c>
      <c r="K143" s="64" t="s">
        <v>27</v>
      </c>
      <c r="L143" s="134">
        <v>5</v>
      </c>
      <c r="M143" s="135" t="s">
        <v>26</v>
      </c>
      <c r="N143" s="48" t="s">
        <v>27</v>
      </c>
      <c r="O143" s="48" t="s">
        <v>28</v>
      </c>
      <c r="P143" s="47">
        <f>170000*2</f>
        <v>340000</v>
      </c>
      <c r="Q143" s="63"/>
      <c r="R143" s="70"/>
      <c r="S143" s="314"/>
      <c r="T143" s="49">
        <f t="shared" si="45"/>
        <v>3400000</v>
      </c>
      <c r="U143" s="49"/>
      <c r="V143" s="49"/>
      <c r="W143" s="49"/>
      <c r="X143" s="49"/>
      <c r="Y143" s="49"/>
      <c r="Z143" s="49"/>
      <c r="AA143" s="63"/>
      <c r="AB143" s="63"/>
      <c r="AC143" s="49">
        <f t="shared" si="46"/>
        <v>3400000</v>
      </c>
    </row>
    <row r="144" spans="1:30">
      <c r="A144" s="54"/>
      <c r="B144" s="128" t="s">
        <v>113</v>
      </c>
      <c r="C144" s="4"/>
      <c r="D144" s="4"/>
      <c r="E144" s="4"/>
      <c r="F144" s="132">
        <v>2</v>
      </c>
      <c r="G144" s="133" t="s">
        <v>30</v>
      </c>
      <c r="H144" s="64" t="s">
        <v>27</v>
      </c>
      <c r="I144" s="134">
        <v>2</v>
      </c>
      <c r="J144" s="135" t="s">
        <v>31</v>
      </c>
      <c r="K144" s="64" t="s">
        <v>27</v>
      </c>
      <c r="L144" s="134">
        <v>5</v>
      </c>
      <c r="M144" s="135" t="s">
        <v>26</v>
      </c>
      <c r="N144" s="48" t="s">
        <v>27</v>
      </c>
      <c r="O144" s="48" t="s">
        <v>28</v>
      </c>
      <c r="P144" s="47">
        <v>530000</v>
      </c>
      <c r="Q144" s="63"/>
      <c r="R144" s="70"/>
      <c r="S144" s="332"/>
      <c r="T144" s="49">
        <f>P144*L144*I144*F144</f>
        <v>10600000</v>
      </c>
      <c r="U144" s="49"/>
      <c r="V144" s="49"/>
      <c r="W144" s="49"/>
      <c r="X144" s="49"/>
      <c r="Y144" s="49"/>
      <c r="Z144" s="49"/>
      <c r="AA144" s="63"/>
      <c r="AB144" s="63"/>
      <c r="AC144" s="49">
        <f>SUM(Q144:AB144)</f>
        <v>10600000</v>
      </c>
    </row>
    <row r="145" spans="1:30">
      <c r="A145" s="54"/>
      <c r="B145" s="128" t="s">
        <v>235</v>
      </c>
      <c r="C145" s="4"/>
      <c r="D145" s="4"/>
      <c r="E145" s="4"/>
      <c r="F145" s="132">
        <v>2</v>
      </c>
      <c r="G145" s="133" t="s">
        <v>30</v>
      </c>
      <c r="H145" s="64" t="s">
        <v>27</v>
      </c>
      <c r="I145" s="134">
        <v>7</v>
      </c>
      <c r="J145" s="135" t="s">
        <v>31</v>
      </c>
      <c r="K145" s="64" t="s">
        <v>27</v>
      </c>
      <c r="L145" s="134">
        <v>5</v>
      </c>
      <c r="M145" s="135" t="s">
        <v>26</v>
      </c>
      <c r="N145" s="48" t="s">
        <v>27</v>
      </c>
      <c r="O145" s="48" t="s">
        <v>28</v>
      </c>
      <c r="P145" s="47">
        <v>160000</v>
      </c>
      <c r="Q145" s="63"/>
      <c r="R145" s="70"/>
      <c r="S145" s="332"/>
      <c r="T145" s="49">
        <f>P145*L145*I145*F145</f>
        <v>11200000</v>
      </c>
      <c r="U145" s="49"/>
      <c r="V145" s="49"/>
      <c r="W145" s="49"/>
      <c r="X145" s="49"/>
      <c r="Y145" s="49"/>
      <c r="Z145" s="49"/>
      <c r="AA145" s="63"/>
      <c r="AB145" s="63"/>
      <c r="AC145" s="49">
        <f t="shared" ref="AC145" si="47">SUM(Q145:AB145)</f>
        <v>11200000</v>
      </c>
    </row>
    <row r="146" spans="1:30">
      <c r="A146" s="54"/>
      <c r="B146" s="128" t="s">
        <v>173</v>
      </c>
      <c r="C146" s="4"/>
      <c r="D146" s="4"/>
      <c r="E146" s="4"/>
      <c r="F146" s="132">
        <v>2</v>
      </c>
      <c r="G146" s="133" t="s">
        <v>30</v>
      </c>
      <c r="H146" s="64" t="s">
        <v>27</v>
      </c>
      <c r="I146" s="134">
        <v>2</v>
      </c>
      <c r="J146" s="135" t="s">
        <v>31</v>
      </c>
      <c r="K146" s="64" t="s">
        <v>27</v>
      </c>
      <c r="L146" s="134">
        <v>5</v>
      </c>
      <c r="M146" s="135" t="s">
        <v>26</v>
      </c>
      <c r="N146" s="48" t="s">
        <v>27</v>
      </c>
      <c r="O146" s="48" t="s">
        <v>28</v>
      </c>
      <c r="P146" s="47">
        <v>610000</v>
      </c>
      <c r="Q146" s="63"/>
      <c r="R146" s="70"/>
      <c r="S146" s="332"/>
      <c r="T146" s="49">
        <f>P146*L146*I146*F146</f>
        <v>12200000</v>
      </c>
      <c r="U146" s="49"/>
      <c r="V146" s="49"/>
      <c r="W146" s="49"/>
      <c r="X146" s="49"/>
      <c r="Y146" s="49"/>
      <c r="Z146" s="49"/>
      <c r="AA146" s="63"/>
      <c r="AB146" s="63"/>
      <c r="AC146" s="49">
        <f>SUM(Q146:AB146)</f>
        <v>12200000</v>
      </c>
    </row>
    <row r="147" spans="1:30">
      <c r="A147" s="54"/>
      <c r="B147" s="385"/>
      <c r="C147" s="4"/>
      <c r="D147" s="4"/>
      <c r="E147" s="4"/>
      <c r="F147" s="132"/>
      <c r="G147" s="133"/>
      <c r="H147" s="64"/>
      <c r="I147" s="134"/>
      <c r="J147" s="135"/>
      <c r="K147" s="64"/>
      <c r="L147" s="134"/>
      <c r="M147" s="135"/>
      <c r="N147" s="48"/>
      <c r="O147" s="48"/>
      <c r="P147" s="47"/>
      <c r="Q147" s="63"/>
      <c r="R147" s="70"/>
      <c r="S147" s="332"/>
      <c r="T147" s="49"/>
      <c r="U147" s="49"/>
      <c r="V147" s="49"/>
      <c r="W147" s="49"/>
      <c r="X147" s="49"/>
      <c r="Y147" s="49"/>
      <c r="Z147" s="49"/>
      <c r="AA147" s="63"/>
      <c r="AB147" s="63"/>
      <c r="AC147" s="49">
        <f t="shared" ref="AC147" si="48">SUM(Q147:AB147)</f>
        <v>0</v>
      </c>
    </row>
    <row r="148" spans="1:30">
      <c r="A148" s="54"/>
      <c r="B148" s="10"/>
      <c r="C148" s="10"/>
      <c r="D148" s="10"/>
      <c r="E148" s="77"/>
      <c r="F148" s="77"/>
      <c r="G148" s="77"/>
      <c r="H148" s="11"/>
      <c r="I148" s="77"/>
      <c r="J148" s="11"/>
      <c r="K148" s="11"/>
      <c r="L148" s="77"/>
      <c r="M148" s="11"/>
      <c r="N148" s="11"/>
      <c r="O148" s="11"/>
      <c r="P148" s="77"/>
      <c r="Q148" s="63"/>
      <c r="R148" s="63"/>
      <c r="S148" s="333"/>
      <c r="T148" s="65"/>
      <c r="U148" s="65"/>
      <c r="V148" s="65"/>
      <c r="W148" s="65"/>
      <c r="X148" s="65"/>
      <c r="Y148" s="65"/>
      <c r="Z148" s="65"/>
      <c r="AA148" s="65"/>
      <c r="AB148" s="65"/>
      <c r="AC148" s="49"/>
    </row>
    <row r="149" spans="1:30" s="87" customFormat="1" ht="13.8" thickBot="1">
      <c r="A149" s="84"/>
      <c r="B149" s="484" t="s">
        <v>33</v>
      </c>
      <c r="C149" s="485"/>
      <c r="D149" s="485"/>
      <c r="E149" s="485"/>
      <c r="F149" s="485"/>
      <c r="G149" s="485"/>
      <c r="H149" s="485"/>
      <c r="I149" s="485"/>
      <c r="J149" s="485"/>
      <c r="K149" s="485"/>
      <c r="L149" s="485"/>
      <c r="M149" s="485"/>
      <c r="N149" s="485"/>
      <c r="O149" s="485"/>
      <c r="P149" s="504"/>
      <c r="Q149" s="85">
        <f>SUM(Q19:Q148)</f>
        <v>1750000000</v>
      </c>
      <c r="R149" s="85">
        <f>SUM(R19:R148)</f>
        <v>79770000</v>
      </c>
      <c r="S149" s="334">
        <f>SUM(S19:S147)</f>
        <v>15000000</v>
      </c>
      <c r="T149" s="85">
        <f t="shared" ref="T149:AB149" si="49">SUM(T18:T148)</f>
        <v>658768000</v>
      </c>
      <c r="U149" s="85">
        <f t="shared" si="49"/>
        <v>1606680000</v>
      </c>
      <c r="V149" s="85">
        <f t="shared" si="49"/>
        <v>86160000</v>
      </c>
      <c r="W149" s="85">
        <f t="shared" si="49"/>
        <v>5000000</v>
      </c>
      <c r="X149" s="85">
        <f t="shared" si="49"/>
        <v>42000000</v>
      </c>
      <c r="Y149" s="85">
        <f t="shared" si="49"/>
        <v>24000000</v>
      </c>
      <c r="Z149" s="85">
        <f t="shared" si="49"/>
        <v>12000000</v>
      </c>
      <c r="AA149" s="85">
        <f t="shared" si="49"/>
        <v>12000000</v>
      </c>
      <c r="AB149" s="85">
        <f t="shared" si="49"/>
        <v>5600000</v>
      </c>
      <c r="AC149" s="85">
        <f>SUM(AC19:AC148)</f>
        <v>4296978000</v>
      </c>
      <c r="AD149" s="176">
        <f>AC149+Sheet1!B1</f>
        <v>4626185000</v>
      </c>
    </row>
    <row r="150" spans="1:30" ht="13.8" thickTop="1">
      <c r="A150" s="88"/>
      <c r="AC150" s="192"/>
      <c r="AD150" s="34">
        <f>AC149-AD149</f>
        <v>-329207000</v>
      </c>
    </row>
    <row r="151" spans="1:30" s="15" customFormat="1" ht="13.8">
      <c r="B151" s="12"/>
      <c r="F151" s="90"/>
      <c r="G151" s="90"/>
      <c r="I151" s="90"/>
      <c r="J151" s="90"/>
      <c r="L151" s="90"/>
      <c r="M151" s="90"/>
      <c r="N151" s="90"/>
      <c r="P151" s="20"/>
      <c r="Q151" s="20"/>
      <c r="R151" s="20"/>
      <c r="S151" s="20"/>
      <c r="V151" s="12"/>
      <c r="X151" s="14"/>
      <c r="AA151" s="20" t="s">
        <v>633</v>
      </c>
      <c r="AC151" s="14"/>
    </row>
    <row r="152" spans="1:30" s="15" customFormat="1" ht="13.8">
      <c r="B152" s="12"/>
      <c r="F152" s="90"/>
      <c r="G152" s="90"/>
      <c r="I152" s="90"/>
      <c r="J152" s="90"/>
      <c r="L152" s="90"/>
      <c r="M152" s="90"/>
      <c r="N152" s="90"/>
      <c r="P152" s="20"/>
      <c r="Q152" s="20"/>
      <c r="R152" s="20"/>
      <c r="S152" s="20"/>
      <c r="V152" s="12"/>
      <c r="X152" s="14"/>
      <c r="AA152" s="20" t="s">
        <v>176</v>
      </c>
      <c r="AC152" s="14"/>
    </row>
    <row r="153" spans="1:30" s="15" customFormat="1" ht="13.8">
      <c r="B153" s="12"/>
      <c r="F153" s="90"/>
      <c r="G153" s="90"/>
      <c r="I153" s="90"/>
      <c r="J153" s="90"/>
      <c r="L153" s="90"/>
      <c r="M153" s="90"/>
      <c r="N153" s="90"/>
      <c r="P153" s="20"/>
      <c r="Q153" s="20"/>
      <c r="R153" s="20"/>
      <c r="S153" s="20"/>
      <c r="V153" s="12"/>
      <c r="X153" s="14"/>
      <c r="AA153" s="20" t="s">
        <v>177</v>
      </c>
      <c r="AC153" s="14"/>
    </row>
    <row r="154" spans="1:30" s="15" customFormat="1" ht="13.8">
      <c r="B154" s="12"/>
      <c r="F154" s="90"/>
      <c r="G154" s="90"/>
      <c r="I154" s="90"/>
      <c r="J154" s="90"/>
      <c r="L154" s="90"/>
      <c r="M154" s="90"/>
      <c r="N154" s="90"/>
      <c r="P154" s="20"/>
      <c r="Q154" s="20"/>
      <c r="R154" s="20"/>
      <c r="S154" s="20"/>
      <c r="V154" s="12"/>
      <c r="X154" s="14"/>
      <c r="AA154" s="20"/>
      <c r="AC154" s="14"/>
    </row>
    <row r="155" spans="1:30" s="15" customFormat="1" ht="13.8">
      <c r="B155" s="12"/>
      <c r="F155" s="90"/>
      <c r="G155" s="90"/>
      <c r="I155" s="90"/>
      <c r="J155" s="90"/>
      <c r="L155" s="90"/>
      <c r="M155" s="90"/>
      <c r="N155" s="90"/>
      <c r="P155" s="20"/>
      <c r="Q155" s="20"/>
      <c r="R155" s="20"/>
      <c r="S155" s="20"/>
      <c r="V155" s="12"/>
      <c r="X155" s="14"/>
      <c r="AA155" s="20"/>
      <c r="AC155" s="14"/>
    </row>
    <row r="156" spans="1:30" s="15" customFormat="1" ht="13.8">
      <c r="B156" s="12"/>
      <c r="F156" s="90"/>
      <c r="G156" s="90"/>
      <c r="I156" s="90"/>
      <c r="J156" s="90"/>
      <c r="L156" s="90"/>
      <c r="M156" s="90"/>
      <c r="N156" s="90"/>
      <c r="P156" s="20"/>
      <c r="Q156" s="20"/>
      <c r="R156" s="20"/>
      <c r="S156" s="20"/>
      <c r="V156" s="12"/>
      <c r="X156" s="14"/>
      <c r="AA156" s="20"/>
      <c r="AC156" s="14"/>
    </row>
    <row r="157" spans="1:30" s="15" customFormat="1" ht="13.8">
      <c r="B157" s="12"/>
      <c r="F157" s="90"/>
      <c r="G157" s="90"/>
      <c r="I157" s="90"/>
      <c r="J157" s="90"/>
      <c r="L157" s="90"/>
      <c r="M157" s="90"/>
      <c r="N157" s="90"/>
      <c r="P157" s="20"/>
      <c r="Q157" s="20"/>
      <c r="R157" s="20"/>
      <c r="S157" s="20"/>
      <c r="V157" s="12"/>
      <c r="X157" s="14"/>
      <c r="AA157" s="20" t="s">
        <v>187</v>
      </c>
      <c r="AC157" s="14"/>
    </row>
    <row r="158" spans="1:30">
      <c r="A158" s="88"/>
      <c r="T158" s="29"/>
      <c r="U158" s="29"/>
      <c r="V158" s="34"/>
      <c r="W158" s="29"/>
      <c r="X158" s="29"/>
      <c r="Y158" s="29"/>
      <c r="Z158" s="29"/>
      <c r="AA158" s="20" t="s">
        <v>174</v>
      </c>
      <c r="AB158" s="29"/>
      <c r="AC158" s="34"/>
      <c r="AD158" s="29"/>
    </row>
    <row r="159" spans="1:30" s="15" customFormat="1">
      <c r="B159" s="131"/>
      <c r="F159" s="90"/>
      <c r="G159" s="90"/>
      <c r="I159" s="90"/>
      <c r="J159" s="90"/>
      <c r="L159" s="90"/>
      <c r="M159" s="90"/>
      <c r="N159" s="90"/>
      <c r="P159" s="20"/>
      <c r="Q159" s="20"/>
      <c r="R159" s="20"/>
      <c r="S159" s="20"/>
      <c r="T159" s="131"/>
      <c r="U159" s="131"/>
      <c r="V159" s="131"/>
      <c r="W159" s="131"/>
      <c r="X159" s="131"/>
      <c r="Y159" s="131"/>
      <c r="Z159" s="131"/>
      <c r="AA159" s="131"/>
      <c r="AB159" s="131"/>
      <c r="AD159" s="14"/>
    </row>
    <row r="160" spans="1:30" s="15" customFormat="1">
      <c r="B160" s="131"/>
      <c r="F160" s="90"/>
      <c r="G160" s="90"/>
      <c r="I160" s="90"/>
      <c r="J160" s="90"/>
      <c r="L160" s="90"/>
      <c r="M160" s="90"/>
      <c r="N160" s="90"/>
      <c r="P160" s="20"/>
      <c r="Q160" s="20"/>
      <c r="R160" s="20"/>
      <c r="S160" s="20"/>
      <c r="T160" s="131"/>
      <c r="U160" s="131"/>
      <c r="V160" s="131"/>
      <c r="W160" s="131"/>
      <c r="X160" s="131"/>
      <c r="Y160" s="131"/>
      <c r="Z160" s="131"/>
      <c r="AA160" s="131"/>
      <c r="AB160" s="131"/>
      <c r="AD160" s="14"/>
    </row>
    <row r="161" spans="2:30" s="15" customFormat="1">
      <c r="B161" s="131"/>
      <c r="F161" s="90"/>
      <c r="G161" s="90"/>
      <c r="I161" s="90"/>
      <c r="J161" s="90"/>
      <c r="L161" s="90"/>
      <c r="M161" s="90"/>
      <c r="N161" s="90"/>
      <c r="P161" s="20"/>
      <c r="Q161" s="20"/>
      <c r="R161" s="20"/>
      <c r="S161" s="20"/>
      <c r="T161" s="131"/>
      <c r="U161" s="131"/>
      <c r="V161" s="131"/>
      <c r="W161" s="131"/>
      <c r="X161" s="131"/>
      <c r="Y161" s="131"/>
      <c r="Z161" s="131"/>
      <c r="AA161" s="131"/>
      <c r="AB161" s="131"/>
      <c r="AD161" s="14"/>
    </row>
    <row r="162" spans="2:30" s="15" customFormat="1">
      <c r="B162" s="131"/>
      <c r="F162" s="90"/>
      <c r="G162" s="90"/>
      <c r="I162" s="90"/>
      <c r="J162" s="90"/>
      <c r="L162" s="90"/>
      <c r="M162" s="90"/>
      <c r="N162" s="90"/>
      <c r="P162" s="20"/>
      <c r="Q162" s="20"/>
      <c r="R162" s="20"/>
      <c r="S162" s="20"/>
      <c r="T162" s="131"/>
      <c r="U162" s="131"/>
      <c r="V162" s="131"/>
      <c r="W162" s="131"/>
      <c r="X162" s="131"/>
      <c r="Y162" s="131"/>
      <c r="Z162" s="131"/>
      <c r="AA162" s="131"/>
      <c r="AB162" s="131"/>
      <c r="AD162" s="14"/>
    </row>
    <row r="163" spans="2:30" s="15" customFormat="1">
      <c r="B163" s="131"/>
      <c r="F163" s="90"/>
      <c r="G163" s="90"/>
      <c r="I163" s="90"/>
      <c r="J163" s="90"/>
      <c r="L163" s="90"/>
      <c r="M163" s="90"/>
      <c r="N163" s="90"/>
      <c r="P163" s="20"/>
      <c r="Q163" s="20"/>
      <c r="R163" s="20"/>
      <c r="S163" s="20"/>
      <c r="T163" s="131"/>
      <c r="U163" s="131"/>
      <c r="V163" s="131"/>
      <c r="W163" s="131"/>
      <c r="X163" s="131"/>
      <c r="Y163" s="131"/>
      <c r="Z163" s="131"/>
      <c r="AA163" s="131"/>
      <c r="AB163" s="131"/>
      <c r="AD163" s="14"/>
    </row>
    <row r="164" spans="2:30" s="15" customFormat="1">
      <c r="B164" s="131"/>
      <c r="F164" s="90"/>
      <c r="G164" s="90"/>
      <c r="I164" s="90"/>
      <c r="J164" s="90"/>
      <c r="L164" s="90"/>
      <c r="M164" s="90"/>
      <c r="N164" s="90"/>
      <c r="P164" s="20"/>
      <c r="Q164" s="20"/>
      <c r="R164" s="20"/>
      <c r="S164" s="20"/>
      <c r="T164" s="131"/>
      <c r="U164" s="131"/>
      <c r="V164" s="131"/>
      <c r="W164" s="131"/>
      <c r="X164" s="131"/>
      <c r="Y164" s="131"/>
      <c r="Z164" s="131"/>
      <c r="AA164" s="131"/>
      <c r="AB164" s="131"/>
      <c r="AD164" s="14"/>
    </row>
    <row r="165" spans="2:30" s="15" customFormat="1">
      <c r="B165" s="131"/>
      <c r="F165" s="90"/>
      <c r="G165" s="90"/>
      <c r="I165" s="90"/>
      <c r="J165" s="90"/>
      <c r="L165" s="90"/>
      <c r="M165" s="90"/>
      <c r="N165" s="90"/>
      <c r="P165" s="20"/>
      <c r="Q165" s="20"/>
      <c r="R165" s="20"/>
      <c r="S165" s="20"/>
      <c r="T165" s="131"/>
      <c r="U165" s="131"/>
      <c r="V165" s="131"/>
      <c r="W165" s="131"/>
      <c r="X165" s="131"/>
      <c r="Y165" s="131"/>
      <c r="Z165" s="131"/>
      <c r="AA165" s="131"/>
      <c r="AB165" s="131"/>
      <c r="AD165" s="14"/>
    </row>
    <row r="166" spans="2:30" s="15" customFormat="1">
      <c r="B166" s="131"/>
      <c r="F166" s="90"/>
      <c r="G166" s="90"/>
      <c r="I166" s="90"/>
      <c r="J166" s="90"/>
      <c r="L166" s="90"/>
      <c r="M166" s="90"/>
      <c r="N166" s="90"/>
      <c r="P166" s="20"/>
      <c r="Q166" s="20"/>
      <c r="R166" s="20"/>
      <c r="S166" s="20"/>
      <c r="T166" s="131"/>
      <c r="U166" s="131"/>
      <c r="V166" s="131"/>
      <c r="W166" s="131"/>
      <c r="X166" s="131"/>
      <c r="Y166" s="131"/>
      <c r="Z166" s="131"/>
      <c r="AA166" s="131"/>
      <c r="AB166" s="131"/>
      <c r="AD166" s="14"/>
    </row>
    <row r="167" spans="2:30" s="15" customFormat="1">
      <c r="G167" s="90"/>
      <c r="H167" s="90"/>
      <c r="J167" s="90"/>
      <c r="K167" s="90"/>
      <c r="M167" s="90"/>
      <c r="N167" s="90"/>
      <c r="O167" s="9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14"/>
    </row>
  </sheetData>
  <mergeCells count="10">
    <mergeCell ref="B17:P17"/>
    <mergeCell ref="B149:P149"/>
    <mergeCell ref="A1:AC1"/>
    <mergeCell ref="E12:H12"/>
    <mergeCell ref="A14:A16"/>
    <mergeCell ref="B14:P14"/>
    <mergeCell ref="Q14:AB14"/>
    <mergeCell ref="AC14:AC16"/>
    <mergeCell ref="B15:P15"/>
    <mergeCell ref="B16:P16"/>
  </mergeCells>
  <printOptions horizontalCentered="1"/>
  <pageMargins left="0.4" right="0.45" top="1" bottom="0.75" header="0.3" footer="0.3"/>
  <pageSetup paperSize="9" scale="47" fitToHeight="10" orientation="landscape" horizontalDpi="4294967293" verticalDpi="4294967293" r:id="rId1"/>
  <headerFooter>
    <oddFooter>&amp;L&amp;"-,Italic"Layanan Perkantoran&amp;R&amp;P</oddFooter>
  </headerFooter>
  <rowBreaks count="2" manualBreakCount="2">
    <brk id="66" max="29" man="1"/>
    <brk id="130" max="29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Y92"/>
  <sheetViews>
    <sheetView view="pageBreakPreview" topLeftCell="A56" zoomScale="75" zoomScaleSheetLayoutView="75" workbookViewId="0">
      <selection activeCell="P41" sqref="P41"/>
    </sheetView>
  </sheetViews>
  <sheetFormatPr defaultColWidth="8.88671875" defaultRowHeight="13.2"/>
  <cols>
    <col min="1" max="1" width="8.88671875" style="169"/>
    <col min="2" max="2" width="21.6640625" style="169" customWidth="1"/>
    <col min="3" max="3" width="3.109375" style="169" customWidth="1"/>
    <col min="4" max="5" width="8.88671875" style="169"/>
    <col min="6" max="7" width="11.5546875" style="277" bestFit="1" customWidth="1"/>
    <col min="8" max="8" width="8.88671875" style="271"/>
    <col min="9" max="9" width="6.88671875" style="169" bestFit="1" customWidth="1"/>
    <col min="10" max="10" width="4.6640625" style="271" bestFit="1" customWidth="1"/>
    <col min="11" max="11" width="3" style="271" bestFit="1" customWidth="1"/>
    <col min="12" max="12" width="6.33203125" style="169" bestFit="1" customWidth="1"/>
    <col min="13" max="13" width="5.44140625" style="271" bestFit="1" customWidth="1"/>
    <col min="14" max="14" width="3.33203125" style="271" bestFit="1" customWidth="1"/>
    <col min="15" max="15" width="4.5546875" style="271" bestFit="1" customWidth="1"/>
    <col min="16" max="16" width="14.44140625" style="169" bestFit="1" customWidth="1"/>
    <col min="17" max="17" width="15.88671875" style="232" customWidth="1"/>
    <col min="18" max="18" width="14.33203125" style="232" customWidth="1"/>
    <col min="19" max="19" width="15.6640625" style="232" bestFit="1" customWidth="1"/>
    <col min="20" max="20" width="13.44140625" style="173" bestFit="1" customWidth="1"/>
    <col min="21" max="21" width="8.88671875" style="169" hidden="1" customWidth="1"/>
    <col min="22" max="22" width="10.5546875" style="169" hidden="1" customWidth="1"/>
    <col min="23" max="23" width="11.5546875" style="169" bestFit="1" customWidth="1"/>
    <col min="24" max="16384" width="8.88671875" style="169"/>
  </cols>
  <sheetData>
    <row r="1" spans="1:20" s="164" customFormat="1">
      <c r="A1" s="521" t="s">
        <v>565</v>
      </c>
      <c r="B1" s="521"/>
      <c r="C1" s="521"/>
      <c r="D1" s="521"/>
      <c r="E1" s="521"/>
      <c r="F1" s="521"/>
      <c r="G1" s="521"/>
      <c r="H1" s="521"/>
      <c r="I1" s="521"/>
      <c r="J1" s="521"/>
      <c r="K1" s="521"/>
      <c r="L1" s="521"/>
      <c r="M1" s="521"/>
      <c r="N1" s="521"/>
      <c r="O1" s="521"/>
      <c r="P1" s="521"/>
      <c r="Q1" s="521"/>
      <c r="R1" s="521"/>
      <c r="S1" s="521"/>
      <c r="T1" s="214"/>
    </row>
    <row r="2" spans="1:20" s="164" customFormat="1">
      <c r="A2" s="215"/>
      <c r="B2" s="215"/>
      <c r="C2" s="215"/>
      <c r="D2" s="216"/>
      <c r="E2" s="215"/>
      <c r="F2" s="274"/>
      <c r="G2" s="274"/>
      <c r="H2" s="215"/>
      <c r="I2" s="215"/>
      <c r="J2" s="215"/>
      <c r="K2" s="215"/>
      <c r="L2" s="215"/>
      <c r="M2" s="215"/>
      <c r="N2" s="215"/>
      <c r="O2" s="217"/>
      <c r="P2" s="217"/>
      <c r="Q2" s="217"/>
      <c r="R2" s="217"/>
      <c r="S2" s="218"/>
      <c r="T2" s="214"/>
    </row>
    <row r="3" spans="1:20" s="164" customFormat="1">
      <c r="A3" s="219" t="s">
        <v>1</v>
      </c>
      <c r="B3" s="219"/>
      <c r="C3" s="220" t="s">
        <v>2</v>
      </c>
      <c r="D3" s="221" t="s">
        <v>3</v>
      </c>
      <c r="E3" s="222"/>
      <c r="F3" s="275"/>
      <c r="G3" s="275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T3" s="174"/>
    </row>
    <row r="4" spans="1:20" s="164" customFormat="1">
      <c r="A4" s="219" t="s">
        <v>4</v>
      </c>
      <c r="B4" s="219"/>
      <c r="C4" s="220" t="s">
        <v>2</v>
      </c>
      <c r="D4" s="221" t="s">
        <v>34</v>
      </c>
      <c r="E4" s="222"/>
      <c r="F4" s="275"/>
      <c r="G4" s="275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T4" s="174"/>
    </row>
    <row r="5" spans="1:20" s="164" customFormat="1">
      <c r="A5" s="219" t="s">
        <v>5</v>
      </c>
      <c r="B5" s="219"/>
      <c r="C5" s="220" t="s">
        <v>2</v>
      </c>
      <c r="D5" s="221" t="s">
        <v>37</v>
      </c>
      <c r="E5" s="221"/>
      <c r="F5" s="275"/>
      <c r="G5" s="275"/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T5" s="174"/>
    </row>
    <row r="6" spans="1:20" s="164" customFormat="1">
      <c r="A6" s="219" t="s">
        <v>6</v>
      </c>
      <c r="B6" s="219"/>
      <c r="C6" s="220" t="s">
        <v>2</v>
      </c>
      <c r="D6" s="223" t="s">
        <v>188</v>
      </c>
      <c r="E6" s="222"/>
      <c r="F6" s="275"/>
      <c r="G6" s="275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T6" s="174"/>
    </row>
    <row r="7" spans="1:20" s="164" customFormat="1">
      <c r="A7" s="219" t="s">
        <v>7</v>
      </c>
      <c r="B7" s="219"/>
      <c r="C7" s="220" t="s">
        <v>2</v>
      </c>
      <c r="D7" s="221" t="s">
        <v>35</v>
      </c>
      <c r="E7" s="222"/>
      <c r="F7" s="275"/>
      <c r="G7" s="275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T7" s="174"/>
    </row>
    <row r="8" spans="1:20" s="164" customFormat="1">
      <c r="A8" s="219" t="s">
        <v>8</v>
      </c>
      <c r="B8" s="219"/>
      <c r="C8" s="220" t="s">
        <v>2</v>
      </c>
      <c r="D8" s="164" t="s">
        <v>164</v>
      </c>
      <c r="E8" s="221"/>
      <c r="F8" s="275"/>
      <c r="G8" s="275"/>
      <c r="H8" s="221"/>
      <c r="I8" s="221"/>
      <c r="J8" s="221"/>
      <c r="K8" s="221"/>
      <c r="L8" s="221"/>
      <c r="M8" s="221"/>
      <c r="N8" s="221"/>
      <c r="O8" s="221"/>
      <c r="P8" s="221"/>
      <c r="Q8" s="221"/>
      <c r="R8" s="221"/>
      <c r="T8" s="174"/>
    </row>
    <row r="9" spans="1:20" s="164" customFormat="1">
      <c r="A9" s="219" t="s">
        <v>9</v>
      </c>
      <c r="B9" s="219"/>
      <c r="C9" s="220" t="s">
        <v>2</v>
      </c>
      <c r="D9" s="224" t="s">
        <v>163</v>
      </c>
      <c r="E9" s="224"/>
      <c r="F9" s="276"/>
      <c r="G9" s="276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5"/>
      <c r="T9" s="174"/>
    </row>
    <row r="10" spans="1:20" s="164" customFormat="1">
      <c r="A10" s="219" t="s">
        <v>10</v>
      </c>
      <c r="B10" s="219"/>
      <c r="C10" s="220" t="s">
        <v>2</v>
      </c>
      <c r="D10" s="221" t="s">
        <v>156</v>
      </c>
      <c r="E10" s="222"/>
      <c r="F10" s="275"/>
      <c r="G10" s="275"/>
      <c r="H10" s="221"/>
      <c r="I10" s="221"/>
      <c r="J10" s="221"/>
      <c r="K10" s="221"/>
      <c r="L10" s="221"/>
      <c r="M10" s="221"/>
      <c r="N10" s="221"/>
      <c r="O10" s="221"/>
      <c r="P10" s="221"/>
      <c r="Q10" s="221"/>
      <c r="R10" s="221"/>
      <c r="T10" s="174"/>
    </row>
    <row r="11" spans="1:20" s="164" customFormat="1">
      <c r="A11" s="219" t="s">
        <v>11</v>
      </c>
      <c r="B11" s="219"/>
      <c r="C11" s="220" t="s">
        <v>2</v>
      </c>
      <c r="D11" s="226" t="s">
        <v>563</v>
      </c>
      <c r="E11" s="222"/>
      <c r="F11" s="275"/>
      <c r="G11" s="275"/>
      <c r="H11" s="221"/>
      <c r="I11" s="221"/>
      <c r="J11" s="221"/>
      <c r="K11" s="221"/>
      <c r="L11" s="221"/>
      <c r="M11" s="221"/>
      <c r="N11" s="221"/>
      <c r="O11" s="221"/>
      <c r="P11" s="221"/>
      <c r="Q11" s="221"/>
      <c r="R11" s="221"/>
      <c r="T11" s="174"/>
    </row>
    <row r="12" spans="1:20" s="164" customFormat="1">
      <c r="A12" s="220" t="s">
        <v>12</v>
      </c>
      <c r="C12" s="220" t="s">
        <v>2</v>
      </c>
      <c r="D12" s="227" t="s">
        <v>13</v>
      </c>
      <c r="E12" s="522">
        <f>S77</f>
        <v>292813000</v>
      </c>
      <c r="F12" s="522"/>
      <c r="G12" s="522"/>
      <c r="H12" s="522"/>
      <c r="I12" s="227"/>
      <c r="J12" s="220"/>
      <c r="K12" s="220"/>
      <c r="L12" s="220"/>
      <c r="M12" s="228"/>
      <c r="N12" s="220"/>
      <c r="O12" s="229"/>
      <c r="P12" s="230"/>
      <c r="Q12" s="231"/>
      <c r="R12" s="231"/>
      <c r="S12" s="232"/>
      <c r="T12" s="173"/>
    </row>
    <row r="13" spans="1:20" s="164" customFormat="1" ht="13.8" thickBot="1">
      <c r="A13" s="220"/>
      <c r="B13" s="233"/>
      <c r="F13" s="277"/>
      <c r="G13" s="277"/>
      <c r="H13" s="234"/>
      <c r="I13" s="234"/>
      <c r="K13" s="234"/>
      <c r="L13" s="231"/>
      <c r="M13" s="231"/>
      <c r="N13" s="231"/>
      <c r="O13" s="231"/>
      <c r="P13" s="231"/>
      <c r="Q13" s="231"/>
      <c r="R13" s="231"/>
      <c r="S13" s="231"/>
      <c r="T13" s="174"/>
    </row>
    <row r="14" spans="1:20" s="164" customFormat="1" ht="16.2" thickTop="1">
      <c r="A14" s="523" t="s">
        <v>14</v>
      </c>
      <c r="B14" s="526" t="s">
        <v>15</v>
      </c>
      <c r="C14" s="527"/>
      <c r="D14" s="527"/>
      <c r="E14" s="527"/>
      <c r="F14" s="527"/>
      <c r="G14" s="527"/>
      <c r="H14" s="527"/>
      <c r="I14" s="527"/>
      <c r="J14" s="527"/>
      <c r="K14" s="527"/>
      <c r="L14" s="527"/>
      <c r="M14" s="527"/>
      <c r="N14" s="527"/>
      <c r="O14" s="527"/>
      <c r="P14" s="528"/>
      <c r="Q14" s="529" t="s">
        <v>564</v>
      </c>
      <c r="R14" s="529"/>
      <c r="S14" s="530" t="s">
        <v>16</v>
      </c>
      <c r="T14" s="235"/>
    </row>
    <row r="15" spans="1:20" s="164" customFormat="1" ht="26.4">
      <c r="A15" s="524"/>
      <c r="B15" s="533" t="s">
        <v>17</v>
      </c>
      <c r="C15" s="534"/>
      <c r="D15" s="534"/>
      <c r="E15" s="534"/>
      <c r="F15" s="534"/>
      <c r="G15" s="534"/>
      <c r="H15" s="534"/>
      <c r="I15" s="534"/>
      <c r="J15" s="534"/>
      <c r="K15" s="534"/>
      <c r="L15" s="534"/>
      <c r="M15" s="534"/>
      <c r="N15" s="534"/>
      <c r="O15" s="534"/>
      <c r="P15" s="535"/>
      <c r="Q15" s="236" t="s">
        <v>161</v>
      </c>
      <c r="R15" s="236" t="s">
        <v>162</v>
      </c>
      <c r="S15" s="531"/>
      <c r="T15" s="235"/>
    </row>
    <row r="16" spans="1:20" s="164" customFormat="1">
      <c r="A16" s="525"/>
      <c r="B16" s="536" t="s">
        <v>19</v>
      </c>
      <c r="C16" s="537"/>
      <c r="D16" s="537"/>
      <c r="E16" s="537"/>
      <c r="F16" s="537"/>
      <c r="G16" s="537"/>
      <c r="H16" s="537"/>
      <c r="I16" s="537"/>
      <c r="J16" s="537"/>
      <c r="K16" s="537"/>
      <c r="L16" s="537"/>
      <c r="M16" s="537"/>
      <c r="N16" s="537"/>
      <c r="O16" s="537"/>
      <c r="P16" s="538"/>
      <c r="Q16" s="237">
        <v>532111</v>
      </c>
      <c r="R16" s="237">
        <v>521219</v>
      </c>
      <c r="S16" s="532"/>
      <c r="T16" s="235"/>
    </row>
    <row r="17" spans="1:22" s="164" customFormat="1">
      <c r="A17" s="238" t="s">
        <v>21</v>
      </c>
      <c r="B17" s="515">
        <v>2</v>
      </c>
      <c r="C17" s="516"/>
      <c r="D17" s="516"/>
      <c r="E17" s="516"/>
      <c r="F17" s="516"/>
      <c r="G17" s="516"/>
      <c r="H17" s="516"/>
      <c r="I17" s="516"/>
      <c r="J17" s="516"/>
      <c r="K17" s="516"/>
      <c r="L17" s="516"/>
      <c r="M17" s="516"/>
      <c r="N17" s="516"/>
      <c r="O17" s="516"/>
      <c r="P17" s="517"/>
      <c r="Q17" s="238" t="s">
        <v>22</v>
      </c>
      <c r="R17" s="238" t="s">
        <v>23</v>
      </c>
      <c r="S17" s="238" t="s">
        <v>25</v>
      </c>
      <c r="T17" s="235"/>
    </row>
    <row r="18" spans="1:22">
      <c r="A18" s="239"/>
      <c r="B18" s="240"/>
      <c r="C18" s="240"/>
      <c r="D18" s="240"/>
      <c r="E18" s="240"/>
      <c r="F18" s="278"/>
      <c r="G18" s="278"/>
      <c r="H18" s="241"/>
      <c r="I18" s="240"/>
      <c r="J18" s="241"/>
      <c r="K18" s="241"/>
      <c r="L18" s="240"/>
      <c r="M18" s="241"/>
      <c r="N18" s="241"/>
      <c r="O18" s="241"/>
      <c r="P18" s="240"/>
      <c r="Q18" s="242"/>
      <c r="R18" s="242"/>
      <c r="S18" s="242"/>
      <c r="T18" s="168"/>
    </row>
    <row r="19" spans="1:22">
      <c r="A19" s="165"/>
      <c r="B19" s="166" t="s">
        <v>164</v>
      </c>
      <c r="C19" s="157"/>
      <c r="D19" s="157"/>
      <c r="E19" s="157"/>
      <c r="F19" s="155"/>
      <c r="G19" s="155"/>
      <c r="H19" s="157"/>
      <c r="I19" s="157"/>
      <c r="J19" s="157"/>
      <c r="K19" s="157"/>
      <c r="L19" s="157"/>
      <c r="M19" s="157"/>
      <c r="N19" s="157"/>
      <c r="O19" s="157"/>
      <c r="P19" s="391"/>
      <c r="Q19" s="156"/>
      <c r="R19" s="156"/>
      <c r="S19" s="243"/>
      <c r="T19" s="168"/>
    </row>
    <row r="20" spans="1:22">
      <c r="A20" s="244"/>
      <c r="B20" s="245"/>
      <c r="C20" s="164"/>
      <c r="D20" s="164"/>
      <c r="E20" s="164"/>
      <c r="H20" s="164"/>
      <c r="I20" s="164"/>
      <c r="J20" s="164"/>
      <c r="K20" s="164"/>
      <c r="L20" s="164"/>
      <c r="M20" s="164"/>
      <c r="N20" s="164"/>
      <c r="O20" s="164"/>
      <c r="P20" s="164"/>
      <c r="Q20" s="156"/>
      <c r="R20" s="156"/>
      <c r="S20" s="243"/>
      <c r="T20" s="168" t="e">
        <f>#REF!-45000</f>
        <v>#REF!</v>
      </c>
    </row>
    <row r="21" spans="1:22" ht="13.8">
      <c r="A21" s="246"/>
      <c r="B21" s="247" t="s">
        <v>160</v>
      </c>
      <c r="C21" s="248"/>
      <c r="D21" s="245"/>
      <c r="E21" s="159"/>
      <c r="F21" s="155"/>
      <c r="G21" s="155"/>
      <c r="H21" s="160"/>
      <c r="I21" s="159"/>
      <c r="J21" s="160"/>
      <c r="K21" s="160"/>
      <c r="L21" s="159"/>
      <c r="M21" s="160"/>
      <c r="N21" s="160"/>
      <c r="O21" s="160"/>
      <c r="P21" s="159"/>
      <c r="Q21" s="177"/>
      <c r="R21" s="177"/>
      <c r="S21" s="177"/>
      <c r="T21" s="168"/>
    </row>
    <row r="22" spans="1:22" ht="13.8">
      <c r="A22" s="165"/>
      <c r="B22" s="132" t="s">
        <v>175</v>
      </c>
      <c r="C22" s="249"/>
      <c r="D22" s="157"/>
      <c r="E22" s="159"/>
      <c r="F22" s="155"/>
      <c r="G22" s="155"/>
      <c r="H22" s="157"/>
      <c r="I22" s="159"/>
      <c r="J22" s="160"/>
      <c r="K22" s="160"/>
      <c r="L22" s="159"/>
      <c r="M22" s="160"/>
      <c r="N22" s="160"/>
      <c r="O22" s="160"/>
      <c r="P22" s="250"/>
      <c r="Q22" s="167"/>
      <c r="R22" s="178"/>
      <c r="S22" s="177"/>
      <c r="T22" s="168"/>
    </row>
    <row r="23" spans="1:22" ht="14.4">
      <c r="A23" s="165"/>
      <c r="B23" s="289" t="s">
        <v>567</v>
      </c>
      <c r="C23" s="249"/>
      <c r="D23" s="157"/>
      <c r="E23" s="154"/>
      <c r="F23" s="411">
        <v>6000000</v>
      </c>
      <c r="G23" s="411">
        <f>((F23/11)+(F23*15%)+F23)</f>
        <v>7445454.5454545449</v>
      </c>
      <c r="H23" s="153"/>
      <c r="I23" s="159"/>
      <c r="J23" s="160"/>
      <c r="K23" s="160"/>
      <c r="L23" s="292">
        <v>20</v>
      </c>
      <c r="M23" s="160" t="s">
        <v>229</v>
      </c>
      <c r="N23" s="160" t="s">
        <v>27</v>
      </c>
      <c r="O23" s="160" t="s">
        <v>28</v>
      </c>
      <c r="P23" s="294">
        <v>600000</v>
      </c>
      <c r="Q23" s="167">
        <f>P23*L23</f>
        <v>12000000</v>
      </c>
      <c r="R23" s="178"/>
      <c r="S23" s="177">
        <f>Q23</f>
        <v>12000000</v>
      </c>
      <c r="T23" s="168">
        <f>SUM(S23:S69)</f>
        <v>288873000</v>
      </c>
    </row>
    <row r="24" spans="1:22" s="73" customFormat="1" ht="14.4">
      <c r="A24" s="253"/>
      <c r="B24" s="290" t="s">
        <v>568</v>
      </c>
      <c r="C24" s="143"/>
      <c r="D24" s="251"/>
      <c r="E24" s="154"/>
      <c r="F24" s="411">
        <v>33000000</v>
      </c>
      <c r="G24" s="411">
        <f>((F24/11)+(F24*15%)+F24)</f>
        <v>40950000</v>
      </c>
      <c r="H24" s="284"/>
      <c r="I24" s="252"/>
      <c r="J24" s="160"/>
      <c r="K24" s="160"/>
      <c r="L24" s="292">
        <v>1</v>
      </c>
      <c r="M24" s="160" t="s">
        <v>47</v>
      </c>
      <c r="N24" s="160" t="s">
        <v>27</v>
      </c>
      <c r="O24" s="160" t="s">
        <v>28</v>
      </c>
      <c r="P24" s="295">
        <v>41000000</v>
      </c>
      <c r="Q24" s="167">
        <f t="shared" ref="Q24" si="0">P24*L24</f>
        <v>41000000</v>
      </c>
      <c r="R24" s="254"/>
      <c r="S24" s="177">
        <f t="shared" ref="S24" si="1">Q24</f>
        <v>41000000</v>
      </c>
      <c r="T24" s="255"/>
      <c r="U24" s="256"/>
      <c r="V24" s="257"/>
    </row>
    <row r="25" spans="1:22" s="73" customFormat="1" ht="14.4">
      <c r="A25" s="253"/>
      <c r="B25" s="290" t="s">
        <v>493</v>
      </c>
      <c r="C25" s="143"/>
      <c r="D25" s="251"/>
      <c r="E25" s="154"/>
      <c r="F25" s="411">
        <v>5000000</v>
      </c>
      <c r="G25" s="411">
        <f>((F25/11)+(F25*15%)+F25)</f>
        <v>6204545.4545454551</v>
      </c>
      <c r="H25" s="284"/>
      <c r="I25" s="252"/>
      <c r="J25" s="160"/>
      <c r="K25" s="160"/>
      <c r="L25" s="292">
        <v>2</v>
      </c>
      <c r="M25" s="160" t="s">
        <v>47</v>
      </c>
      <c r="N25" s="160" t="s">
        <v>27</v>
      </c>
      <c r="O25" s="160" t="s">
        <v>28</v>
      </c>
      <c r="P25" s="295">
        <v>6204000</v>
      </c>
      <c r="Q25" s="167">
        <f t="shared" ref="Q25" si="2">P25*L25</f>
        <v>12408000</v>
      </c>
      <c r="R25" s="254"/>
      <c r="S25" s="177">
        <f t="shared" ref="S25" si="3">Q25</f>
        <v>12408000</v>
      </c>
      <c r="T25" s="255"/>
      <c r="U25" s="256"/>
      <c r="V25" s="257"/>
    </row>
    <row r="26" spans="1:22" s="73" customFormat="1" ht="14.4">
      <c r="A26" s="253"/>
      <c r="B26" s="290" t="s">
        <v>579</v>
      </c>
      <c r="C26" s="143"/>
      <c r="D26" s="251"/>
      <c r="E26" s="154"/>
      <c r="F26" s="411">
        <v>4000000</v>
      </c>
      <c r="G26" s="411">
        <f>((F26/11)+(F26*15%)+F26)</f>
        <v>4963636.3636363633</v>
      </c>
      <c r="H26" s="284"/>
      <c r="I26" s="252"/>
      <c r="J26" s="160"/>
      <c r="K26" s="160"/>
      <c r="L26" s="292">
        <v>3</v>
      </c>
      <c r="M26" s="160" t="s">
        <v>47</v>
      </c>
      <c r="N26" s="160" t="s">
        <v>27</v>
      </c>
      <c r="O26" s="160" t="s">
        <v>28</v>
      </c>
      <c r="P26" s="295">
        <v>5500000</v>
      </c>
      <c r="Q26" s="167">
        <f t="shared" ref="Q26:Q36" si="4">P26*L26</f>
        <v>16500000</v>
      </c>
      <c r="R26" s="254"/>
      <c r="S26" s="177">
        <f t="shared" ref="S26:S36" si="5">Q26</f>
        <v>16500000</v>
      </c>
      <c r="T26" s="255"/>
      <c r="U26" s="256"/>
      <c r="V26" s="257"/>
    </row>
    <row r="27" spans="1:22" s="73" customFormat="1" ht="14.4">
      <c r="A27" s="253"/>
      <c r="B27" s="290" t="s">
        <v>585</v>
      </c>
      <c r="C27" s="143"/>
      <c r="D27" s="251"/>
      <c r="E27" s="154"/>
      <c r="F27" s="411"/>
      <c r="G27" s="411"/>
      <c r="H27" s="284"/>
      <c r="I27" s="252"/>
      <c r="J27" s="160"/>
      <c r="K27" s="160"/>
      <c r="L27" s="292">
        <v>3</v>
      </c>
      <c r="M27" s="160" t="s">
        <v>234</v>
      </c>
      <c r="N27" s="160" t="s">
        <v>27</v>
      </c>
      <c r="O27" s="160" t="s">
        <v>28</v>
      </c>
      <c r="P27" s="295">
        <v>25000000</v>
      </c>
      <c r="Q27" s="167">
        <f t="shared" si="4"/>
        <v>75000000</v>
      </c>
      <c r="R27" s="254"/>
      <c r="S27" s="177">
        <f t="shared" si="5"/>
        <v>75000000</v>
      </c>
      <c r="T27" s="255"/>
      <c r="U27" s="256"/>
      <c r="V27" s="257"/>
    </row>
    <row r="28" spans="1:22" s="73" customFormat="1" ht="13.8" hidden="1">
      <c r="A28" s="253"/>
      <c r="B28" s="402" t="s">
        <v>570</v>
      </c>
      <c r="C28" s="143"/>
      <c r="D28" s="251"/>
      <c r="E28" s="154"/>
      <c r="F28" s="411">
        <v>800000</v>
      </c>
      <c r="G28" s="411">
        <f>((F28*10%)+(F28*15%)+F28)</f>
        <v>1000000</v>
      </c>
      <c r="H28" s="284"/>
      <c r="I28" s="252"/>
      <c r="J28" s="160"/>
      <c r="K28" s="160"/>
      <c r="L28" s="403">
        <v>4</v>
      </c>
      <c r="M28" s="160" t="s">
        <v>47</v>
      </c>
      <c r="N28" s="160" t="s">
        <v>27</v>
      </c>
      <c r="O28" s="160" t="s">
        <v>28</v>
      </c>
      <c r="P28" s="295"/>
      <c r="Q28" s="167">
        <f t="shared" si="4"/>
        <v>0</v>
      </c>
      <c r="R28" s="254"/>
      <c r="S28" s="177">
        <f t="shared" si="5"/>
        <v>0</v>
      </c>
      <c r="T28" s="255"/>
      <c r="U28" s="256"/>
      <c r="V28" s="257"/>
    </row>
    <row r="29" spans="1:22" s="73" customFormat="1" ht="13.8" hidden="1">
      <c r="A29" s="253"/>
      <c r="B29" s="402" t="s">
        <v>571</v>
      </c>
      <c r="C29" s="143"/>
      <c r="D29" s="251"/>
      <c r="E29" s="154"/>
      <c r="F29" s="411">
        <v>500000</v>
      </c>
      <c r="G29" s="411">
        <f t="shared" ref="G29:G36" si="6">((F29*10%)+(F29*15%)+F29)</f>
        <v>625000</v>
      </c>
      <c r="H29" s="284"/>
      <c r="I29" s="252"/>
      <c r="J29" s="160"/>
      <c r="K29" s="160"/>
      <c r="L29" s="403">
        <v>4</v>
      </c>
      <c r="M29" s="160" t="s">
        <v>47</v>
      </c>
      <c r="N29" s="160" t="s">
        <v>27</v>
      </c>
      <c r="O29" s="160" t="s">
        <v>28</v>
      </c>
      <c r="P29" s="295"/>
      <c r="Q29" s="167">
        <f t="shared" si="4"/>
        <v>0</v>
      </c>
      <c r="R29" s="254"/>
      <c r="S29" s="177">
        <f t="shared" si="5"/>
        <v>0</v>
      </c>
      <c r="T29" s="255"/>
      <c r="U29" s="256"/>
      <c r="V29" s="257"/>
    </row>
    <row r="30" spans="1:22" s="73" customFormat="1" ht="13.8" hidden="1">
      <c r="A30" s="253"/>
      <c r="B30" s="402" t="s">
        <v>572</v>
      </c>
      <c r="C30" s="143"/>
      <c r="D30" s="251"/>
      <c r="E30" s="154"/>
      <c r="F30" s="411">
        <v>5000000</v>
      </c>
      <c r="G30" s="411">
        <f t="shared" si="6"/>
        <v>6250000</v>
      </c>
      <c r="H30" s="284"/>
      <c r="I30" s="252"/>
      <c r="J30" s="160"/>
      <c r="K30" s="160"/>
      <c r="L30" s="403">
        <v>2</v>
      </c>
      <c r="M30" s="160" t="s">
        <v>47</v>
      </c>
      <c r="N30" s="160" t="s">
        <v>27</v>
      </c>
      <c r="O30" s="160" t="s">
        <v>28</v>
      </c>
      <c r="P30" s="295"/>
      <c r="Q30" s="167">
        <f t="shared" si="4"/>
        <v>0</v>
      </c>
      <c r="R30" s="254"/>
      <c r="S30" s="177">
        <f t="shared" si="5"/>
        <v>0</v>
      </c>
      <c r="T30" s="255"/>
      <c r="U30" s="256"/>
      <c r="V30" s="257"/>
    </row>
    <row r="31" spans="1:22" s="73" customFormat="1" ht="13.8" hidden="1">
      <c r="A31" s="253"/>
      <c r="B31" s="402" t="s">
        <v>573</v>
      </c>
      <c r="C31" s="143"/>
      <c r="D31" s="251"/>
      <c r="E31" s="154"/>
      <c r="F31" s="411">
        <v>3200000</v>
      </c>
      <c r="G31" s="411">
        <f t="shared" si="6"/>
        <v>4000000</v>
      </c>
      <c r="H31" s="284"/>
      <c r="I31" s="252"/>
      <c r="J31" s="160"/>
      <c r="K31" s="160"/>
      <c r="L31" s="403">
        <v>2</v>
      </c>
      <c r="M31" s="160" t="s">
        <v>47</v>
      </c>
      <c r="N31" s="160" t="s">
        <v>27</v>
      </c>
      <c r="O31" s="160" t="s">
        <v>28</v>
      </c>
      <c r="P31" s="295"/>
      <c r="Q31" s="167">
        <f t="shared" si="4"/>
        <v>0</v>
      </c>
      <c r="R31" s="254"/>
      <c r="S31" s="177">
        <f t="shared" si="5"/>
        <v>0</v>
      </c>
      <c r="T31" s="255"/>
      <c r="U31" s="256"/>
      <c r="V31" s="257"/>
    </row>
    <row r="32" spans="1:22" s="73" customFormat="1" ht="13.8" hidden="1">
      <c r="A32" s="253"/>
      <c r="B32" s="402" t="s">
        <v>574</v>
      </c>
      <c r="C32" s="143"/>
      <c r="D32" s="251"/>
      <c r="E32" s="154"/>
      <c r="F32" s="411">
        <v>350000</v>
      </c>
      <c r="G32" s="411">
        <f t="shared" si="6"/>
        <v>437500</v>
      </c>
      <c r="H32" s="284"/>
      <c r="I32" s="252"/>
      <c r="J32" s="160"/>
      <c r="K32" s="160"/>
      <c r="L32" s="403">
        <v>4</v>
      </c>
      <c r="M32" s="160" t="s">
        <v>47</v>
      </c>
      <c r="N32" s="160" t="s">
        <v>27</v>
      </c>
      <c r="O32" s="160" t="s">
        <v>28</v>
      </c>
      <c r="P32" s="295"/>
      <c r="Q32" s="167">
        <f t="shared" si="4"/>
        <v>0</v>
      </c>
      <c r="R32" s="254"/>
      <c r="S32" s="177">
        <f t="shared" si="5"/>
        <v>0</v>
      </c>
      <c r="T32" s="255"/>
      <c r="U32" s="256"/>
      <c r="V32" s="257"/>
    </row>
    <row r="33" spans="1:23" s="73" customFormat="1" ht="13.8" hidden="1">
      <c r="A33" s="253"/>
      <c r="B33" s="402" t="s">
        <v>575</v>
      </c>
      <c r="C33" s="143"/>
      <c r="D33" s="251"/>
      <c r="E33" s="154"/>
      <c r="F33" s="411">
        <v>1250000</v>
      </c>
      <c r="G33" s="411">
        <f t="shared" si="6"/>
        <v>1562500</v>
      </c>
      <c r="H33" s="284"/>
      <c r="I33" s="252"/>
      <c r="J33" s="160"/>
      <c r="K33" s="160"/>
      <c r="L33" s="403">
        <v>3</v>
      </c>
      <c r="M33" s="160" t="s">
        <v>47</v>
      </c>
      <c r="N33" s="160" t="s">
        <v>27</v>
      </c>
      <c r="O33" s="160" t="s">
        <v>28</v>
      </c>
      <c r="P33" s="295"/>
      <c r="Q33" s="167">
        <f t="shared" si="4"/>
        <v>0</v>
      </c>
      <c r="R33" s="254"/>
      <c r="S33" s="177">
        <f t="shared" si="5"/>
        <v>0</v>
      </c>
      <c r="T33" s="255"/>
      <c r="U33" s="256"/>
      <c r="V33" s="257"/>
    </row>
    <row r="34" spans="1:23" s="73" customFormat="1" ht="13.8" hidden="1">
      <c r="A34" s="253"/>
      <c r="B34" s="402" t="s">
        <v>576</v>
      </c>
      <c r="C34" s="143"/>
      <c r="D34" s="251"/>
      <c r="E34" s="154"/>
      <c r="F34" s="411">
        <v>85000</v>
      </c>
      <c r="G34" s="411">
        <f t="shared" si="6"/>
        <v>106250</v>
      </c>
      <c r="H34" s="284"/>
      <c r="I34" s="252"/>
      <c r="J34" s="160"/>
      <c r="K34" s="160"/>
      <c r="L34" s="403">
        <v>12</v>
      </c>
      <c r="M34" s="160" t="s">
        <v>47</v>
      </c>
      <c r="N34" s="160" t="s">
        <v>27</v>
      </c>
      <c r="O34" s="160" t="s">
        <v>28</v>
      </c>
      <c r="P34" s="295"/>
      <c r="Q34" s="167">
        <f t="shared" si="4"/>
        <v>0</v>
      </c>
      <c r="R34" s="254"/>
      <c r="S34" s="177">
        <f t="shared" si="5"/>
        <v>0</v>
      </c>
      <c r="T34" s="255"/>
      <c r="U34" s="256"/>
      <c r="V34" s="257"/>
    </row>
    <row r="35" spans="1:23" s="73" customFormat="1" ht="13.8" hidden="1">
      <c r="A35" s="253"/>
      <c r="B35" s="402" t="s">
        <v>577</v>
      </c>
      <c r="C35" s="143"/>
      <c r="D35" s="251"/>
      <c r="E35" s="154"/>
      <c r="F35" s="411">
        <v>350000</v>
      </c>
      <c r="G35" s="411">
        <f t="shared" si="6"/>
        <v>437500</v>
      </c>
      <c r="H35" s="284"/>
      <c r="I35" s="252"/>
      <c r="J35" s="160"/>
      <c r="K35" s="160"/>
      <c r="L35" s="403">
        <v>2</v>
      </c>
      <c r="M35" s="160" t="s">
        <v>47</v>
      </c>
      <c r="N35" s="160" t="s">
        <v>27</v>
      </c>
      <c r="O35" s="160" t="s">
        <v>28</v>
      </c>
      <c r="P35" s="295"/>
      <c r="Q35" s="167">
        <f t="shared" si="4"/>
        <v>0</v>
      </c>
      <c r="R35" s="254"/>
      <c r="S35" s="177">
        <f t="shared" si="5"/>
        <v>0</v>
      </c>
      <c r="T35" s="255"/>
      <c r="U35" s="256"/>
      <c r="V35" s="257"/>
    </row>
    <row r="36" spans="1:23" s="73" customFormat="1" ht="13.8" hidden="1">
      <c r="A36" s="253"/>
      <c r="B36" s="402" t="s">
        <v>578</v>
      </c>
      <c r="C36" s="143"/>
      <c r="D36" s="251"/>
      <c r="E36" s="154"/>
      <c r="F36" s="411">
        <v>160000</v>
      </c>
      <c r="G36" s="411">
        <f t="shared" si="6"/>
        <v>200000</v>
      </c>
      <c r="H36" s="284"/>
      <c r="I36" s="252"/>
      <c r="J36" s="160"/>
      <c r="K36" s="160"/>
      <c r="L36" s="403">
        <v>2</v>
      </c>
      <c r="M36" s="160" t="s">
        <v>47</v>
      </c>
      <c r="N36" s="160" t="s">
        <v>27</v>
      </c>
      <c r="O36" s="160" t="s">
        <v>28</v>
      </c>
      <c r="P36" s="295"/>
      <c r="Q36" s="167">
        <f t="shared" si="4"/>
        <v>0</v>
      </c>
      <c r="R36" s="254"/>
      <c r="S36" s="177">
        <f t="shared" si="5"/>
        <v>0</v>
      </c>
      <c r="T36" s="255"/>
      <c r="U36" s="256"/>
      <c r="V36" s="257"/>
    </row>
    <row r="37" spans="1:23" s="73" customFormat="1" ht="14.4">
      <c r="A37" s="253"/>
      <c r="B37" s="290" t="s">
        <v>569</v>
      </c>
      <c r="C37" s="143"/>
      <c r="D37" s="251"/>
      <c r="E37" s="154"/>
      <c r="F37" s="411">
        <v>9000000</v>
      </c>
      <c r="G37" s="411">
        <f>((F37*10%)+(F37*15%)+F37)</f>
        <v>11250000</v>
      </c>
      <c r="H37" s="284"/>
      <c r="I37" s="252"/>
      <c r="J37" s="160"/>
      <c r="K37" s="160"/>
      <c r="L37" s="292">
        <v>3</v>
      </c>
      <c r="M37" s="160" t="s">
        <v>47</v>
      </c>
      <c r="N37" s="160" t="s">
        <v>27</v>
      </c>
      <c r="O37" s="160" t="s">
        <v>28</v>
      </c>
      <c r="P37" s="295">
        <v>14000000</v>
      </c>
      <c r="Q37" s="167">
        <f t="shared" ref="Q37" si="7">P37*L37</f>
        <v>42000000</v>
      </c>
      <c r="R37" s="254"/>
      <c r="S37" s="177">
        <f t="shared" ref="S37" si="8">Q37</f>
        <v>42000000</v>
      </c>
      <c r="T37" s="255"/>
      <c r="U37" s="256"/>
      <c r="V37" s="257"/>
    </row>
    <row r="38" spans="1:23" s="73" customFormat="1" ht="14.4">
      <c r="A38" s="253"/>
      <c r="B38" s="290" t="s">
        <v>636</v>
      </c>
      <c r="C38" s="143"/>
      <c r="D38" s="251"/>
      <c r="E38" s="154"/>
      <c r="F38" s="404"/>
      <c r="G38" s="404"/>
      <c r="H38" s="284"/>
      <c r="I38" s="252"/>
      <c r="J38" s="160"/>
      <c r="K38" s="160"/>
      <c r="L38" s="292">
        <v>1</v>
      </c>
      <c r="M38" s="160" t="s">
        <v>47</v>
      </c>
      <c r="N38" s="160" t="s">
        <v>27</v>
      </c>
      <c r="O38" s="160" t="s">
        <v>28</v>
      </c>
      <c r="P38" s="295">
        <v>10315000</v>
      </c>
      <c r="Q38" s="167">
        <f t="shared" ref="Q38" si="9">P38*L38</f>
        <v>10315000</v>
      </c>
      <c r="R38" s="254"/>
      <c r="S38" s="177">
        <f t="shared" ref="S38" si="10">Q38</f>
        <v>10315000</v>
      </c>
      <c r="T38" s="255"/>
      <c r="U38" s="256"/>
      <c r="V38" s="257"/>
    </row>
    <row r="39" spans="1:23" s="73" customFormat="1" ht="14.4">
      <c r="A39" s="253"/>
      <c r="B39" s="290" t="s">
        <v>588</v>
      </c>
      <c r="C39" s="143"/>
      <c r="D39" s="251"/>
      <c r="E39" s="154"/>
      <c r="F39" s="404"/>
      <c r="G39" s="404"/>
      <c r="H39" s="284"/>
      <c r="I39" s="252"/>
      <c r="J39" s="160"/>
      <c r="K39" s="160"/>
      <c r="L39" s="292">
        <v>1</v>
      </c>
      <c r="M39" s="160" t="s">
        <v>47</v>
      </c>
      <c r="N39" s="160" t="s">
        <v>27</v>
      </c>
      <c r="O39" s="160" t="s">
        <v>28</v>
      </c>
      <c r="P39" s="295">
        <v>10000000</v>
      </c>
      <c r="Q39" s="167">
        <f t="shared" ref="Q39" si="11">P39*L39</f>
        <v>10000000</v>
      </c>
      <c r="R39" s="254"/>
      <c r="S39" s="177">
        <f t="shared" ref="S39" si="12">Q39</f>
        <v>10000000</v>
      </c>
      <c r="T39" s="255"/>
      <c r="U39" s="256"/>
      <c r="V39" s="257"/>
    </row>
    <row r="40" spans="1:23" s="73" customFormat="1" ht="14.4">
      <c r="A40" s="253"/>
      <c r="B40" s="290" t="s">
        <v>617</v>
      </c>
      <c r="C40" s="143"/>
      <c r="D40" s="251"/>
      <c r="E40" s="154"/>
      <c r="F40" s="404"/>
      <c r="G40" s="404"/>
      <c r="H40" s="284"/>
      <c r="I40" s="252"/>
      <c r="J40" s="160"/>
      <c r="K40" s="160"/>
      <c r="L40" s="292">
        <v>1</v>
      </c>
      <c r="M40" s="160" t="s">
        <v>47</v>
      </c>
      <c r="N40" s="160" t="s">
        <v>27</v>
      </c>
      <c r="O40" s="160" t="s">
        <v>28</v>
      </c>
      <c r="P40" s="295">
        <v>20000000</v>
      </c>
      <c r="Q40" s="167">
        <f t="shared" ref="Q40" si="13">P40*L40</f>
        <v>20000000</v>
      </c>
      <c r="R40" s="254"/>
      <c r="S40" s="177">
        <f t="shared" ref="S40" si="14">Q40</f>
        <v>20000000</v>
      </c>
      <c r="T40" s="255"/>
      <c r="U40" s="256"/>
      <c r="V40" s="257"/>
    </row>
    <row r="41" spans="1:23" s="73" customFormat="1" ht="13.8">
      <c r="A41" s="253"/>
      <c r="B41" s="291"/>
      <c r="C41" s="143"/>
      <c r="D41" s="251"/>
      <c r="E41" s="154"/>
      <c r="F41" s="155"/>
      <c r="G41" s="155"/>
      <c r="H41" s="284"/>
      <c r="I41" s="252"/>
      <c r="J41" s="160"/>
      <c r="K41" s="160"/>
      <c r="L41" s="293"/>
      <c r="M41" s="160"/>
      <c r="N41" s="160"/>
      <c r="O41" s="160"/>
      <c r="P41" s="364"/>
      <c r="Q41" s="167"/>
      <c r="R41" s="254"/>
      <c r="S41" s="177"/>
      <c r="T41" s="255"/>
      <c r="U41" s="256"/>
      <c r="V41" s="257"/>
    </row>
    <row r="42" spans="1:23" s="73" customFormat="1" ht="13.8">
      <c r="A42" s="253"/>
      <c r="B42" s="367" t="s">
        <v>455</v>
      </c>
      <c r="C42" s="143"/>
      <c r="D42" s="251"/>
      <c r="E42" s="154"/>
      <c r="F42" s="155"/>
      <c r="G42" s="155"/>
      <c r="H42" s="284"/>
      <c r="I42" s="252"/>
      <c r="J42" s="160"/>
      <c r="K42" s="160"/>
      <c r="L42" s="293"/>
      <c r="M42" s="160"/>
      <c r="N42" s="160"/>
      <c r="O42" s="160"/>
      <c r="P42" s="364"/>
      <c r="Q42" s="167"/>
      <c r="R42" s="254"/>
      <c r="S42" s="177"/>
      <c r="T42" s="255"/>
      <c r="U42" s="256"/>
      <c r="V42" s="257"/>
    </row>
    <row r="43" spans="1:23" s="73" customFormat="1" ht="13.8">
      <c r="A43" s="253"/>
      <c r="B43" s="55" t="s">
        <v>429</v>
      </c>
      <c r="C43" s="4"/>
      <c r="D43" s="4"/>
      <c r="E43" s="47"/>
      <c r="F43" s="182"/>
      <c r="G43" s="4"/>
      <c r="H43" s="4"/>
      <c r="I43" s="47"/>
      <c r="J43" s="48"/>
      <c r="K43" s="48"/>
      <c r="L43" s="47"/>
      <c r="M43" s="48"/>
      <c r="N43" s="48"/>
      <c r="O43" s="48"/>
      <c r="P43" s="365"/>
      <c r="Q43" s="167"/>
      <c r="R43" s="254"/>
      <c r="S43" s="177"/>
      <c r="T43" s="255"/>
      <c r="U43" s="256"/>
      <c r="V43" s="257"/>
    </row>
    <row r="44" spans="1:23" s="73" customFormat="1" ht="13.8">
      <c r="A44" s="253"/>
      <c r="B44" s="368" t="s">
        <v>430</v>
      </c>
      <c r="C44" s="4"/>
      <c r="D44" s="4"/>
      <c r="E44" s="47"/>
      <c r="F44" s="182"/>
      <c r="G44" s="4"/>
      <c r="H44" s="4"/>
      <c r="I44" s="47"/>
      <c r="J44" s="48"/>
      <c r="K44" s="48"/>
      <c r="L44" s="47">
        <v>2</v>
      </c>
      <c r="M44" s="48" t="s">
        <v>47</v>
      </c>
      <c r="N44" s="48" t="s">
        <v>27</v>
      </c>
      <c r="O44" s="48" t="s">
        <v>28</v>
      </c>
      <c r="P44" s="365">
        <v>780000</v>
      </c>
      <c r="Q44" s="167">
        <f t="shared" ref="Q44:Q47" si="15">P44*L44</f>
        <v>1560000</v>
      </c>
      <c r="R44" s="254"/>
      <c r="S44" s="177">
        <f t="shared" ref="S44:S52" si="16">Q44</f>
        <v>1560000</v>
      </c>
      <c r="T44" s="365">
        <v>600000</v>
      </c>
      <c r="U44" s="255">
        <f>T44*10%</f>
        <v>60000</v>
      </c>
      <c r="V44" s="256">
        <f>T44*20%</f>
        <v>120000</v>
      </c>
      <c r="W44" s="257">
        <f>(T44+U44+V44)</f>
        <v>780000</v>
      </c>
    </row>
    <row r="45" spans="1:23" s="73" customFormat="1" ht="13.8">
      <c r="A45" s="253"/>
      <c r="B45" s="368" t="s">
        <v>431</v>
      </c>
      <c r="C45" s="4"/>
      <c r="D45" s="4"/>
      <c r="E45" s="47"/>
      <c r="F45" s="182"/>
      <c r="G45" s="4"/>
      <c r="H45" s="4"/>
      <c r="I45" s="47"/>
      <c r="J45" s="48"/>
      <c r="K45" s="48"/>
      <c r="L45" s="47">
        <v>2</v>
      </c>
      <c r="M45" s="162" t="s">
        <v>47</v>
      </c>
      <c r="N45" s="48" t="s">
        <v>27</v>
      </c>
      <c r="O45" s="162" t="s">
        <v>28</v>
      </c>
      <c r="P45" s="57">
        <v>734000</v>
      </c>
      <c r="Q45" s="167">
        <f t="shared" si="15"/>
        <v>1468000</v>
      </c>
      <c r="R45" s="254"/>
      <c r="S45" s="177">
        <f t="shared" si="16"/>
        <v>1468000</v>
      </c>
      <c r="T45" s="57">
        <v>565000</v>
      </c>
      <c r="U45" s="255">
        <f t="shared" ref="U45:U68" si="17">T45*10%</f>
        <v>56500</v>
      </c>
      <c r="V45" s="256">
        <f t="shared" ref="V45:V68" si="18">T45*20%</f>
        <v>113000</v>
      </c>
      <c r="W45" s="257">
        <f t="shared" ref="W45:W68" si="19">(T45+U45+V45)</f>
        <v>734500</v>
      </c>
    </row>
    <row r="46" spans="1:23" s="73" customFormat="1" ht="13.8">
      <c r="A46" s="253"/>
      <c r="B46" s="368" t="s">
        <v>432</v>
      </c>
      <c r="C46" s="4"/>
      <c r="D46" s="4"/>
      <c r="E46" s="47"/>
      <c r="F46" s="182"/>
      <c r="G46" s="4"/>
      <c r="H46" s="4"/>
      <c r="I46" s="47"/>
      <c r="J46" s="48"/>
      <c r="K46" s="48"/>
      <c r="L46" s="47">
        <v>2</v>
      </c>
      <c r="M46" s="162" t="s">
        <v>47</v>
      </c>
      <c r="N46" s="48" t="s">
        <v>27</v>
      </c>
      <c r="O46" s="162" t="s">
        <v>28</v>
      </c>
      <c r="P46" s="366">
        <v>195000</v>
      </c>
      <c r="Q46" s="167">
        <f t="shared" si="15"/>
        <v>390000</v>
      </c>
      <c r="R46" s="254"/>
      <c r="S46" s="177">
        <f t="shared" si="16"/>
        <v>390000</v>
      </c>
      <c r="T46" s="366">
        <v>150000</v>
      </c>
      <c r="U46" s="255">
        <f t="shared" si="17"/>
        <v>15000</v>
      </c>
      <c r="V46" s="256">
        <f t="shared" si="18"/>
        <v>30000</v>
      </c>
      <c r="W46" s="257">
        <f t="shared" si="19"/>
        <v>195000</v>
      </c>
    </row>
    <row r="47" spans="1:23" s="73" customFormat="1" ht="13.8">
      <c r="A47" s="253"/>
      <c r="B47" s="368" t="s">
        <v>433</v>
      </c>
      <c r="C47" s="4"/>
      <c r="D47" s="4"/>
      <c r="E47" s="47"/>
      <c r="F47" s="182"/>
      <c r="G47" s="4"/>
      <c r="H47" s="4"/>
      <c r="I47" s="47"/>
      <c r="J47" s="48"/>
      <c r="K47" s="48"/>
      <c r="L47" s="47">
        <v>1</v>
      </c>
      <c r="M47" s="162" t="s">
        <v>47</v>
      </c>
      <c r="N47" s="48" t="s">
        <v>27</v>
      </c>
      <c r="O47" s="162" t="s">
        <v>28</v>
      </c>
      <c r="P47" s="366">
        <v>390000</v>
      </c>
      <c r="Q47" s="167">
        <f t="shared" si="15"/>
        <v>390000</v>
      </c>
      <c r="R47" s="254"/>
      <c r="S47" s="177">
        <f t="shared" si="16"/>
        <v>390000</v>
      </c>
      <c r="T47" s="366">
        <v>300000</v>
      </c>
      <c r="U47" s="255">
        <f t="shared" si="17"/>
        <v>30000</v>
      </c>
      <c r="V47" s="256">
        <f t="shared" si="18"/>
        <v>60000</v>
      </c>
      <c r="W47" s="257">
        <f t="shared" si="19"/>
        <v>390000</v>
      </c>
    </row>
    <row r="48" spans="1:23" s="73" customFormat="1" ht="13.8">
      <c r="A48" s="253"/>
      <c r="B48" s="368" t="s">
        <v>434</v>
      </c>
      <c r="C48" s="4"/>
      <c r="D48" s="4"/>
      <c r="E48" s="47"/>
      <c r="F48" s="182"/>
      <c r="G48" s="4"/>
      <c r="H48" s="4"/>
      <c r="I48" s="47"/>
      <c r="J48" s="48"/>
      <c r="K48" s="48"/>
      <c r="L48" s="47">
        <v>1</v>
      </c>
      <c r="M48" s="162" t="s">
        <v>47</v>
      </c>
      <c r="N48" s="48" t="s">
        <v>27</v>
      </c>
      <c r="O48" s="162" t="s">
        <v>28</v>
      </c>
      <c r="P48" s="366">
        <v>1235500</v>
      </c>
      <c r="Q48" s="167">
        <f>P48</f>
        <v>1235500</v>
      </c>
      <c r="R48" s="254"/>
      <c r="S48" s="177">
        <f t="shared" si="16"/>
        <v>1235500</v>
      </c>
      <c r="T48" s="366">
        <v>950000</v>
      </c>
      <c r="U48" s="255">
        <f t="shared" si="17"/>
        <v>95000</v>
      </c>
      <c r="V48" s="256">
        <f t="shared" si="18"/>
        <v>190000</v>
      </c>
      <c r="W48" s="257">
        <f t="shared" si="19"/>
        <v>1235000</v>
      </c>
    </row>
    <row r="49" spans="1:23" s="73" customFormat="1" ht="13.8">
      <c r="A49" s="253"/>
      <c r="B49" s="368" t="s">
        <v>435</v>
      </c>
      <c r="C49" s="4"/>
      <c r="D49" s="4"/>
      <c r="E49" s="47"/>
      <c r="F49" s="182"/>
      <c r="G49" s="4"/>
      <c r="H49" s="4"/>
      <c r="I49" s="47"/>
      <c r="J49" s="48"/>
      <c r="K49" s="48"/>
      <c r="L49" s="47">
        <v>3</v>
      </c>
      <c r="M49" s="162" t="s">
        <v>47</v>
      </c>
      <c r="N49" s="48" t="s">
        <v>27</v>
      </c>
      <c r="O49" s="162" t="s">
        <v>28</v>
      </c>
      <c r="P49" s="366">
        <v>52000</v>
      </c>
      <c r="Q49" s="167">
        <v>52000</v>
      </c>
      <c r="R49" s="254"/>
      <c r="S49" s="177">
        <f t="shared" si="16"/>
        <v>52000</v>
      </c>
      <c r="T49" s="366">
        <v>40000</v>
      </c>
      <c r="U49" s="255">
        <f t="shared" si="17"/>
        <v>4000</v>
      </c>
      <c r="V49" s="256">
        <f t="shared" si="18"/>
        <v>8000</v>
      </c>
      <c r="W49" s="257">
        <f t="shared" si="19"/>
        <v>52000</v>
      </c>
    </row>
    <row r="50" spans="1:23" s="73" customFormat="1" ht="13.8">
      <c r="A50" s="253"/>
      <c r="B50" s="368" t="s">
        <v>436</v>
      </c>
      <c r="C50" s="4"/>
      <c r="D50" s="4"/>
      <c r="E50" s="47"/>
      <c r="F50" s="182"/>
      <c r="G50" s="4"/>
      <c r="H50" s="4"/>
      <c r="I50" s="47"/>
      <c r="J50" s="48"/>
      <c r="K50" s="48"/>
      <c r="L50" s="47">
        <v>2</v>
      </c>
      <c r="M50" s="162" t="s">
        <v>47</v>
      </c>
      <c r="N50" s="48" t="s">
        <v>27</v>
      </c>
      <c r="O50" s="162" t="s">
        <v>28</v>
      </c>
      <c r="P50" s="366">
        <v>429000</v>
      </c>
      <c r="Q50" s="167">
        <v>429000</v>
      </c>
      <c r="R50" s="254"/>
      <c r="S50" s="177">
        <f t="shared" si="16"/>
        <v>429000</v>
      </c>
      <c r="T50" s="366">
        <v>330000</v>
      </c>
      <c r="U50" s="255">
        <f t="shared" si="17"/>
        <v>33000</v>
      </c>
      <c r="V50" s="256">
        <f t="shared" si="18"/>
        <v>66000</v>
      </c>
      <c r="W50" s="257">
        <f t="shared" si="19"/>
        <v>429000</v>
      </c>
    </row>
    <row r="51" spans="1:23" s="73" customFormat="1" ht="13.8">
      <c r="A51" s="253"/>
      <c r="B51" s="368" t="s">
        <v>437</v>
      </c>
      <c r="C51" s="4"/>
      <c r="D51" s="4"/>
      <c r="E51" s="47"/>
      <c r="F51" s="182"/>
      <c r="G51" s="4"/>
      <c r="H51" s="4"/>
      <c r="I51" s="47"/>
      <c r="J51" s="48"/>
      <c r="K51" s="48"/>
      <c r="L51" s="47">
        <v>1</v>
      </c>
      <c r="M51" s="162" t="s">
        <v>47</v>
      </c>
      <c r="N51" s="48" t="s">
        <v>27</v>
      </c>
      <c r="O51" s="162" t="s">
        <v>28</v>
      </c>
      <c r="P51" s="366">
        <v>6955000</v>
      </c>
      <c r="Q51" s="167">
        <v>6955000</v>
      </c>
      <c r="R51" s="254"/>
      <c r="S51" s="177">
        <f t="shared" si="16"/>
        <v>6955000</v>
      </c>
      <c r="T51" s="366">
        <v>5350000</v>
      </c>
      <c r="U51" s="255">
        <f t="shared" si="17"/>
        <v>535000</v>
      </c>
      <c r="V51" s="256">
        <f t="shared" si="18"/>
        <v>1070000</v>
      </c>
      <c r="W51" s="257">
        <f t="shared" si="19"/>
        <v>6955000</v>
      </c>
    </row>
    <row r="52" spans="1:23" s="73" customFormat="1" ht="13.8">
      <c r="A52" s="253"/>
      <c r="B52" s="368" t="s">
        <v>438</v>
      </c>
      <c r="C52" s="4"/>
      <c r="D52" s="4"/>
      <c r="E52" s="47"/>
      <c r="F52" s="182"/>
      <c r="G52" s="4"/>
      <c r="H52" s="4"/>
      <c r="I52" s="47"/>
      <c r="J52" s="48"/>
      <c r="K52" s="48"/>
      <c r="L52" s="47">
        <v>2</v>
      </c>
      <c r="M52" s="162" t="s">
        <v>47</v>
      </c>
      <c r="N52" s="48" t="s">
        <v>27</v>
      </c>
      <c r="O52" s="162" t="s">
        <v>28</v>
      </c>
      <c r="P52" s="366">
        <v>115000</v>
      </c>
      <c r="Q52" s="167">
        <v>115000</v>
      </c>
      <c r="R52" s="254"/>
      <c r="S52" s="177">
        <f t="shared" si="16"/>
        <v>115000</v>
      </c>
      <c r="T52" s="366">
        <v>88200</v>
      </c>
      <c r="U52" s="255">
        <f t="shared" si="17"/>
        <v>8820</v>
      </c>
      <c r="V52" s="256">
        <f t="shared" si="18"/>
        <v>17640</v>
      </c>
      <c r="W52" s="257">
        <f t="shared" si="19"/>
        <v>114660</v>
      </c>
    </row>
    <row r="53" spans="1:23" s="73" customFormat="1" ht="13.8">
      <c r="A53" s="253"/>
      <c r="B53" s="55" t="s">
        <v>439</v>
      </c>
      <c r="C53" s="4"/>
      <c r="D53" s="4"/>
      <c r="E53" s="47"/>
      <c r="F53" s="182"/>
      <c r="G53" s="4"/>
      <c r="H53" s="4"/>
      <c r="I53" s="47"/>
      <c r="J53" s="48"/>
      <c r="K53" s="48"/>
      <c r="L53" s="47"/>
      <c r="M53" s="48"/>
      <c r="N53" s="48"/>
      <c r="O53" s="48"/>
      <c r="P53" s="366"/>
      <c r="Q53" s="167"/>
      <c r="R53" s="254"/>
      <c r="S53" s="177"/>
      <c r="T53" s="366"/>
      <c r="U53" s="255">
        <f t="shared" si="17"/>
        <v>0</v>
      </c>
      <c r="V53" s="256">
        <f t="shared" si="18"/>
        <v>0</v>
      </c>
      <c r="W53" s="257">
        <f t="shared" si="19"/>
        <v>0</v>
      </c>
    </row>
    <row r="54" spans="1:23" s="73" customFormat="1" ht="13.8">
      <c r="A54" s="253"/>
      <c r="B54" s="368" t="s">
        <v>440</v>
      </c>
      <c r="C54" s="4"/>
      <c r="D54" s="4"/>
      <c r="E54" s="47"/>
      <c r="F54" s="182"/>
      <c r="G54" s="4"/>
      <c r="H54" s="4"/>
      <c r="I54" s="47"/>
      <c r="J54" s="48"/>
      <c r="K54" s="48"/>
      <c r="L54" s="47">
        <v>1</v>
      </c>
      <c r="M54" s="162" t="s">
        <v>47</v>
      </c>
      <c r="N54" s="48" t="s">
        <v>27</v>
      </c>
      <c r="O54" s="162" t="s">
        <v>28</v>
      </c>
      <c r="P54" s="366">
        <v>11375000</v>
      </c>
      <c r="Q54" s="167">
        <f>P54</f>
        <v>11375000</v>
      </c>
      <c r="R54" s="254"/>
      <c r="S54" s="177">
        <f t="shared" ref="S54:S68" si="20">Q54</f>
        <v>11375000</v>
      </c>
      <c r="T54" s="366">
        <v>8750000</v>
      </c>
      <c r="U54" s="255">
        <f t="shared" si="17"/>
        <v>875000</v>
      </c>
      <c r="V54" s="256">
        <f t="shared" si="18"/>
        <v>1750000</v>
      </c>
      <c r="W54" s="257">
        <f t="shared" si="19"/>
        <v>11375000</v>
      </c>
    </row>
    <row r="55" spans="1:23" s="73" customFormat="1" ht="13.8" hidden="1">
      <c r="A55" s="253"/>
      <c r="B55" s="368" t="s">
        <v>441</v>
      </c>
      <c r="C55" s="4"/>
      <c r="D55" s="4"/>
      <c r="E55" s="47"/>
      <c r="F55" s="182"/>
      <c r="G55" s="4"/>
      <c r="H55" s="4"/>
      <c r="I55" s="47"/>
      <c r="J55" s="48"/>
      <c r="K55" s="48"/>
      <c r="L55" s="47">
        <v>1</v>
      </c>
      <c r="M55" s="162" t="s">
        <v>47</v>
      </c>
      <c r="N55" s="48" t="s">
        <v>27</v>
      </c>
      <c r="O55" s="162" t="s">
        <v>28</v>
      </c>
      <c r="P55" s="366"/>
      <c r="Q55" s="167">
        <f t="shared" ref="Q55:Q56" si="21">P55*L55</f>
        <v>0</v>
      </c>
      <c r="R55" s="254"/>
      <c r="S55" s="177">
        <f t="shared" si="20"/>
        <v>0</v>
      </c>
      <c r="T55" s="366">
        <v>18000000</v>
      </c>
      <c r="U55" s="255">
        <f t="shared" si="17"/>
        <v>1800000</v>
      </c>
      <c r="V55" s="256">
        <f t="shared" si="18"/>
        <v>3600000</v>
      </c>
      <c r="W55" s="257">
        <f>(T55+U55+V55)</f>
        <v>23400000</v>
      </c>
    </row>
    <row r="56" spans="1:23" s="73" customFormat="1" ht="13.8">
      <c r="A56" s="253"/>
      <c r="B56" s="368" t="s">
        <v>442</v>
      </c>
      <c r="C56" s="4"/>
      <c r="D56" s="4"/>
      <c r="E56" s="47"/>
      <c r="F56" s="182"/>
      <c r="G56" s="4"/>
      <c r="H56" s="4"/>
      <c r="I56" s="47"/>
      <c r="J56" s="48"/>
      <c r="K56" s="48"/>
      <c r="L56" s="47">
        <v>1</v>
      </c>
      <c r="M56" s="162" t="s">
        <v>47</v>
      </c>
      <c r="N56" s="48" t="s">
        <v>27</v>
      </c>
      <c r="O56" s="162" t="s">
        <v>28</v>
      </c>
      <c r="P56" s="57">
        <v>2500000</v>
      </c>
      <c r="Q56" s="167">
        <f t="shared" si="21"/>
        <v>2500000</v>
      </c>
      <c r="R56" s="254"/>
      <c r="S56" s="177">
        <f t="shared" si="20"/>
        <v>2500000</v>
      </c>
      <c r="T56" s="57">
        <v>1920000</v>
      </c>
      <c r="U56" s="255">
        <f t="shared" si="17"/>
        <v>192000</v>
      </c>
      <c r="V56" s="256">
        <f t="shared" si="18"/>
        <v>384000</v>
      </c>
      <c r="W56" s="257">
        <f t="shared" si="19"/>
        <v>2496000</v>
      </c>
    </row>
    <row r="57" spans="1:23" s="73" customFormat="1" ht="13.8">
      <c r="A57" s="253"/>
      <c r="B57" s="368" t="s">
        <v>443</v>
      </c>
      <c r="C57" s="4"/>
      <c r="D57" s="4"/>
      <c r="E57" s="47"/>
      <c r="F57" s="182"/>
      <c r="G57" s="4"/>
      <c r="H57" s="4"/>
      <c r="I57" s="47"/>
      <c r="J57" s="48"/>
      <c r="K57" s="48"/>
      <c r="L57" s="47">
        <v>1</v>
      </c>
      <c r="M57" s="162" t="s">
        <v>47</v>
      </c>
      <c r="N57" s="48" t="s">
        <v>27</v>
      </c>
      <c r="O57" s="162" t="s">
        <v>28</v>
      </c>
      <c r="P57" s="57">
        <v>400000</v>
      </c>
      <c r="Q57" s="167">
        <v>345000</v>
      </c>
      <c r="R57" s="254"/>
      <c r="S57" s="177">
        <f t="shared" si="20"/>
        <v>345000</v>
      </c>
      <c r="T57" s="57">
        <v>275000</v>
      </c>
      <c r="U57" s="255">
        <f t="shared" si="17"/>
        <v>27500</v>
      </c>
      <c r="V57" s="256">
        <f t="shared" si="18"/>
        <v>55000</v>
      </c>
      <c r="W57" s="257">
        <f t="shared" si="19"/>
        <v>357500</v>
      </c>
    </row>
    <row r="58" spans="1:23" s="73" customFormat="1" ht="13.8">
      <c r="A58" s="253"/>
      <c r="B58" s="368" t="s">
        <v>444</v>
      </c>
      <c r="C58" s="4"/>
      <c r="D58" s="4"/>
      <c r="E58" s="47"/>
      <c r="F58" s="182"/>
      <c r="G58" s="4"/>
      <c r="H58" s="4"/>
      <c r="I58" s="47"/>
      <c r="J58" s="48"/>
      <c r="K58" s="48"/>
      <c r="L58" s="47">
        <v>1</v>
      </c>
      <c r="M58" s="162" t="s">
        <v>47</v>
      </c>
      <c r="N58" s="48" t="s">
        <v>27</v>
      </c>
      <c r="O58" s="162" t="s">
        <v>28</v>
      </c>
      <c r="P58" s="57"/>
      <c r="Q58" s="167">
        <v>10000000</v>
      </c>
      <c r="R58" s="254"/>
      <c r="S58" s="177">
        <f t="shared" si="20"/>
        <v>10000000</v>
      </c>
      <c r="T58" s="57">
        <v>8000000</v>
      </c>
      <c r="U58" s="255">
        <f t="shared" si="17"/>
        <v>800000</v>
      </c>
      <c r="V58" s="256">
        <f t="shared" si="18"/>
        <v>1600000</v>
      </c>
      <c r="W58" s="257">
        <f t="shared" si="19"/>
        <v>10400000</v>
      </c>
    </row>
    <row r="59" spans="1:23" s="73" customFormat="1" ht="13.8">
      <c r="A59" s="253"/>
      <c r="B59" s="368" t="s">
        <v>445</v>
      </c>
      <c r="C59" s="4"/>
      <c r="D59" s="4"/>
      <c r="E59" s="47"/>
      <c r="F59" s="182"/>
      <c r="G59" s="4"/>
      <c r="H59" s="4"/>
      <c r="I59" s="47"/>
      <c r="J59" s="48"/>
      <c r="K59" s="48"/>
      <c r="L59" s="47">
        <v>1</v>
      </c>
      <c r="M59" s="162" t="s">
        <v>47</v>
      </c>
      <c r="N59" s="48" t="s">
        <v>27</v>
      </c>
      <c r="O59" s="162" t="s">
        <v>28</v>
      </c>
      <c r="P59" s="57">
        <v>3510000</v>
      </c>
      <c r="Q59" s="167">
        <v>3375000</v>
      </c>
      <c r="R59" s="254"/>
      <c r="S59" s="177">
        <f t="shared" si="20"/>
        <v>3375000</v>
      </c>
      <c r="T59" s="57">
        <v>2700000</v>
      </c>
      <c r="U59" s="255">
        <f t="shared" si="17"/>
        <v>270000</v>
      </c>
      <c r="V59" s="256">
        <f t="shared" si="18"/>
        <v>540000</v>
      </c>
      <c r="W59" s="257">
        <f t="shared" si="19"/>
        <v>3510000</v>
      </c>
    </row>
    <row r="60" spans="1:23" s="73" customFormat="1" ht="13.8">
      <c r="A60" s="253"/>
      <c r="B60" s="368" t="s">
        <v>446</v>
      </c>
      <c r="C60" s="4"/>
      <c r="D60" s="4"/>
      <c r="E60" s="47"/>
      <c r="F60" s="182"/>
      <c r="G60" s="4"/>
      <c r="H60" s="4"/>
      <c r="I60" s="47"/>
      <c r="J60" s="48"/>
      <c r="K60" s="48"/>
      <c r="L60" s="47">
        <v>1</v>
      </c>
      <c r="M60" s="162" t="s">
        <v>47</v>
      </c>
      <c r="N60" s="48" t="s">
        <v>27</v>
      </c>
      <c r="O60" s="162" t="s">
        <v>28</v>
      </c>
      <c r="P60" s="57">
        <v>3250000</v>
      </c>
      <c r="Q60" s="167">
        <v>3125000</v>
      </c>
      <c r="R60" s="254"/>
      <c r="S60" s="177">
        <f t="shared" si="20"/>
        <v>3125000</v>
      </c>
      <c r="T60" s="57">
        <v>2500000</v>
      </c>
      <c r="U60" s="255">
        <f t="shared" si="17"/>
        <v>250000</v>
      </c>
      <c r="V60" s="256">
        <f t="shared" si="18"/>
        <v>500000</v>
      </c>
      <c r="W60" s="257">
        <f t="shared" si="19"/>
        <v>3250000</v>
      </c>
    </row>
    <row r="61" spans="1:23" s="73" customFormat="1" ht="13.8">
      <c r="A61" s="253"/>
      <c r="B61" s="368" t="s">
        <v>447</v>
      </c>
      <c r="C61" s="4"/>
      <c r="D61" s="4"/>
      <c r="E61" s="47"/>
      <c r="F61" s="182"/>
      <c r="G61" s="4"/>
      <c r="H61" s="4"/>
      <c r="I61" s="47"/>
      <c r="J61" s="48"/>
      <c r="K61" s="48"/>
      <c r="L61" s="47">
        <v>3</v>
      </c>
      <c r="M61" s="162" t="s">
        <v>47</v>
      </c>
      <c r="N61" s="48" t="s">
        <v>27</v>
      </c>
      <c r="O61" s="162" t="s">
        <v>28</v>
      </c>
      <c r="P61" s="57">
        <v>20000</v>
      </c>
      <c r="Q61" s="167">
        <v>19000</v>
      </c>
      <c r="R61" s="254"/>
      <c r="S61" s="177">
        <f t="shared" si="20"/>
        <v>19000</v>
      </c>
      <c r="T61" s="57">
        <v>15000</v>
      </c>
      <c r="U61" s="255">
        <f t="shared" si="17"/>
        <v>1500</v>
      </c>
      <c r="V61" s="256">
        <f t="shared" si="18"/>
        <v>3000</v>
      </c>
      <c r="W61" s="257">
        <f t="shared" si="19"/>
        <v>19500</v>
      </c>
    </row>
    <row r="62" spans="1:23" s="73" customFormat="1" ht="13.8">
      <c r="A62" s="253"/>
      <c r="B62" s="368" t="s">
        <v>448</v>
      </c>
      <c r="C62" s="4"/>
      <c r="D62" s="4"/>
      <c r="E62" s="47"/>
      <c r="F62" s="182"/>
      <c r="G62" s="4"/>
      <c r="H62" s="4"/>
      <c r="I62" s="47"/>
      <c r="J62" s="48"/>
      <c r="K62" s="48"/>
      <c r="L62" s="47">
        <v>1</v>
      </c>
      <c r="M62" s="162" t="s">
        <v>47</v>
      </c>
      <c r="N62" s="48" t="s">
        <v>27</v>
      </c>
      <c r="O62" s="162" t="s">
        <v>28</v>
      </c>
      <c r="P62" s="57">
        <v>72000</v>
      </c>
      <c r="Q62" s="167">
        <v>69000</v>
      </c>
      <c r="R62" s="254"/>
      <c r="S62" s="177">
        <f t="shared" si="20"/>
        <v>69000</v>
      </c>
      <c r="T62" s="57">
        <v>55000</v>
      </c>
      <c r="U62" s="255">
        <f t="shared" si="17"/>
        <v>5500</v>
      </c>
      <c r="V62" s="256">
        <f t="shared" si="18"/>
        <v>11000</v>
      </c>
      <c r="W62" s="257">
        <f t="shared" si="19"/>
        <v>71500</v>
      </c>
    </row>
    <row r="63" spans="1:23" s="73" customFormat="1" ht="13.8" hidden="1">
      <c r="A63" s="253"/>
      <c r="B63" s="368" t="s">
        <v>449</v>
      </c>
      <c r="C63" s="4"/>
      <c r="D63" s="4"/>
      <c r="E63" s="47"/>
      <c r="F63" s="182"/>
      <c r="G63" s="4"/>
      <c r="H63" s="4"/>
      <c r="I63" s="47"/>
      <c r="J63" s="48"/>
      <c r="K63" s="48"/>
      <c r="L63" s="47">
        <v>1</v>
      </c>
      <c r="M63" s="162" t="s">
        <v>47</v>
      </c>
      <c r="N63" s="48" t="s">
        <v>27</v>
      </c>
      <c r="O63" s="162" t="s">
        <v>28</v>
      </c>
      <c r="P63" s="57"/>
      <c r="Q63" s="167">
        <f>P63</f>
        <v>0</v>
      </c>
      <c r="R63" s="254"/>
      <c r="S63" s="177">
        <f t="shared" si="20"/>
        <v>0</v>
      </c>
      <c r="T63" s="57">
        <v>19200000</v>
      </c>
      <c r="U63" s="255">
        <f t="shared" si="17"/>
        <v>1920000</v>
      </c>
      <c r="V63" s="256">
        <f t="shared" si="18"/>
        <v>3840000</v>
      </c>
      <c r="W63" s="257">
        <f t="shared" si="19"/>
        <v>24960000</v>
      </c>
    </row>
    <row r="64" spans="1:23" s="73" customFormat="1" ht="13.8">
      <c r="A64" s="253"/>
      <c r="B64" s="368" t="s">
        <v>450</v>
      </c>
      <c r="C64" s="4"/>
      <c r="D64" s="4"/>
      <c r="E64" s="47"/>
      <c r="F64" s="182"/>
      <c r="G64" s="4"/>
      <c r="H64" s="4"/>
      <c r="I64" s="47"/>
      <c r="J64" s="48"/>
      <c r="K64" s="48"/>
      <c r="L64" s="47">
        <v>1</v>
      </c>
      <c r="M64" s="162" t="s">
        <v>47</v>
      </c>
      <c r="N64" s="48" t="s">
        <v>27</v>
      </c>
      <c r="O64" s="162" t="s">
        <v>28</v>
      </c>
      <c r="P64" s="57">
        <v>3120000</v>
      </c>
      <c r="Q64" s="167">
        <v>3000000</v>
      </c>
      <c r="R64" s="254"/>
      <c r="S64" s="177">
        <f t="shared" si="20"/>
        <v>3000000</v>
      </c>
      <c r="T64" s="57">
        <v>2400000</v>
      </c>
      <c r="U64" s="255">
        <f t="shared" si="17"/>
        <v>240000</v>
      </c>
      <c r="V64" s="256">
        <f t="shared" si="18"/>
        <v>480000</v>
      </c>
      <c r="W64" s="257">
        <f t="shared" si="19"/>
        <v>3120000</v>
      </c>
    </row>
    <row r="65" spans="1:25" s="73" customFormat="1" ht="13.8">
      <c r="A65" s="253"/>
      <c r="B65" s="368" t="s">
        <v>451</v>
      </c>
      <c r="C65" s="4"/>
      <c r="D65" s="4"/>
      <c r="E65" s="47"/>
      <c r="F65" s="182"/>
      <c r="G65" s="4"/>
      <c r="H65" s="4"/>
      <c r="I65" s="47"/>
      <c r="J65" s="48"/>
      <c r="K65" s="48"/>
      <c r="L65" s="47">
        <v>1</v>
      </c>
      <c r="M65" s="162" t="s">
        <v>47</v>
      </c>
      <c r="N65" s="48" t="s">
        <v>27</v>
      </c>
      <c r="O65" s="162" t="s">
        <v>28</v>
      </c>
      <c r="P65" s="57">
        <v>747500</v>
      </c>
      <c r="Q65" s="167">
        <f>P65</f>
        <v>747500</v>
      </c>
      <c r="R65" s="254"/>
      <c r="S65" s="177">
        <f t="shared" si="20"/>
        <v>747500</v>
      </c>
      <c r="T65" s="57">
        <v>575000</v>
      </c>
      <c r="U65" s="255">
        <f t="shared" si="17"/>
        <v>57500</v>
      </c>
      <c r="V65" s="256">
        <f t="shared" si="18"/>
        <v>115000</v>
      </c>
      <c r="W65" s="257">
        <f t="shared" si="19"/>
        <v>747500</v>
      </c>
    </row>
    <row r="66" spans="1:25" s="73" customFormat="1" ht="13.8">
      <c r="A66" s="253"/>
      <c r="B66" s="368" t="s">
        <v>452</v>
      </c>
      <c r="C66" s="4"/>
      <c r="D66" s="4"/>
      <c r="E66" s="47"/>
      <c r="F66" s="182"/>
      <c r="G66" s="4"/>
      <c r="H66" s="4"/>
      <c r="I66" s="47"/>
      <c r="J66" s="48"/>
      <c r="K66" s="48"/>
      <c r="L66" s="47">
        <v>1</v>
      </c>
      <c r="M66" s="162" t="s">
        <v>47</v>
      </c>
      <c r="N66" s="48" t="s">
        <v>27</v>
      </c>
      <c r="O66" s="162" t="s">
        <v>28</v>
      </c>
      <c r="P66" s="57">
        <v>2600000</v>
      </c>
      <c r="Q66" s="167">
        <v>2500000</v>
      </c>
      <c r="R66" s="254"/>
      <c r="S66" s="177">
        <f t="shared" si="20"/>
        <v>2500000</v>
      </c>
      <c r="T66" s="57">
        <v>2000000</v>
      </c>
      <c r="U66" s="255">
        <f t="shared" si="17"/>
        <v>200000</v>
      </c>
      <c r="V66" s="256">
        <f t="shared" si="18"/>
        <v>400000</v>
      </c>
      <c r="W66" s="257">
        <f t="shared" si="19"/>
        <v>2600000</v>
      </c>
    </row>
    <row r="67" spans="1:25" s="73" customFormat="1" ht="13.8" hidden="1">
      <c r="A67" s="253"/>
      <c r="B67" s="368" t="s">
        <v>453</v>
      </c>
      <c r="C67" s="4"/>
      <c r="D67" s="4"/>
      <c r="E67" s="47"/>
      <c r="F67" s="182"/>
      <c r="G67" s="4"/>
      <c r="H67" s="4"/>
      <c r="I67" s="47"/>
      <c r="J67" s="48"/>
      <c r="K67" s="48"/>
      <c r="L67" s="47">
        <v>1</v>
      </c>
      <c r="M67" s="162" t="s">
        <v>47</v>
      </c>
      <c r="N67" s="48" t="s">
        <v>27</v>
      </c>
      <c r="O67" s="162" t="s">
        <v>28</v>
      </c>
      <c r="P67" s="57"/>
      <c r="Q67" s="167">
        <f>P67</f>
        <v>0</v>
      </c>
      <c r="R67" s="254"/>
      <c r="S67" s="177">
        <f t="shared" si="20"/>
        <v>0</v>
      </c>
      <c r="T67" s="57">
        <v>12000000</v>
      </c>
      <c r="U67" s="255">
        <f t="shared" si="17"/>
        <v>1200000</v>
      </c>
      <c r="V67" s="256">
        <f t="shared" si="18"/>
        <v>2400000</v>
      </c>
      <c r="W67" s="257">
        <f t="shared" si="19"/>
        <v>15600000</v>
      </c>
    </row>
    <row r="68" spans="1:25" s="73" customFormat="1" ht="13.8" hidden="1">
      <c r="A68" s="253"/>
      <c r="B68" s="368" t="s">
        <v>454</v>
      </c>
      <c r="C68" s="4"/>
      <c r="D68" s="4"/>
      <c r="E68" s="47"/>
      <c r="F68" s="182"/>
      <c r="G68" s="4"/>
      <c r="H68" s="4"/>
      <c r="I68" s="47"/>
      <c r="J68" s="48"/>
      <c r="K68" s="48"/>
      <c r="L68" s="47">
        <v>1</v>
      </c>
      <c r="M68" s="162" t="s">
        <v>47</v>
      </c>
      <c r="N68" s="48" t="s">
        <v>27</v>
      </c>
      <c r="O68" s="162" t="s">
        <v>28</v>
      </c>
      <c r="P68" s="57"/>
      <c r="Q68" s="167">
        <f>P68</f>
        <v>0</v>
      </c>
      <c r="R68" s="254"/>
      <c r="S68" s="177">
        <f t="shared" si="20"/>
        <v>0</v>
      </c>
      <c r="T68" s="57">
        <v>8626000</v>
      </c>
      <c r="U68" s="255">
        <f t="shared" si="17"/>
        <v>862600</v>
      </c>
      <c r="V68" s="256">
        <f t="shared" si="18"/>
        <v>1725200</v>
      </c>
      <c r="W68" s="257">
        <f t="shared" si="19"/>
        <v>11213800</v>
      </c>
    </row>
    <row r="69" spans="1:25" s="73" customFormat="1" ht="13.8">
      <c r="A69" s="253"/>
      <c r="B69" s="369"/>
      <c r="C69" s="4"/>
      <c r="D69" s="4"/>
      <c r="E69" s="47"/>
      <c r="F69" s="182"/>
      <c r="G69" s="4"/>
      <c r="H69" s="4"/>
      <c r="I69" s="47"/>
      <c r="J69" s="48"/>
      <c r="K69" s="48"/>
      <c r="L69" s="47"/>
      <c r="M69" s="162"/>
      <c r="N69" s="48"/>
      <c r="O69" s="162"/>
      <c r="P69" s="47"/>
      <c r="Q69" s="167"/>
      <c r="R69" s="254"/>
      <c r="S69" s="177"/>
      <c r="T69" s="255"/>
      <c r="U69" s="256"/>
      <c r="V69" s="257"/>
    </row>
    <row r="70" spans="1:25" s="29" customFormat="1" ht="13.8">
      <c r="A70" s="54"/>
      <c r="B70" s="146" t="s">
        <v>157</v>
      </c>
      <c r="C70" s="143"/>
      <c r="D70" s="182"/>
      <c r="E70" s="404"/>
      <c r="F70" s="404"/>
      <c r="G70" s="153"/>
      <c r="H70" s="153"/>
      <c r="I70" s="47"/>
      <c r="J70" s="48"/>
      <c r="K70" s="48"/>
      <c r="L70" s="47"/>
      <c r="M70" s="48"/>
      <c r="N70" s="48"/>
      <c r="O70" s="48"/>
      <c r="P70" s="47"/>
      <c r="Q70" s="49"/>
      <c r="R70" s="49"/>
      <c r="S70" s="49"/>
    </row>
    <row r="71" spans="1:25" s="73" customFormat="1" ht="13.8">
      <c r="A71" s="66"/>
      <c r="B71" s="147" t="s">
        <v>170</v>
      </c>
      <c r="C71" s="144"/>
      <c r="D71" s="182"/>
      <c r="E71" s="183"/>
      <c r="F71" s="4"/>
      <c r="G71" s="4"/>
      <c r="H71" s="4"/>
      <c r="I71" s="114" t="s">
        <v>104</v>
      </c>
      <c r="J71" s="48" t="s">
        <v>30</v>
      </c>
      <c r="K71" s="48" t="s">
        <v>27</v>
      </c>
      <c r="L71" s="47">
        <v>1</v>
      </c>
      <c r="M71" s="48" t="s">
        <v>26</v>
      </c>
      <c r="N71" s="48" t="s">
        <v>27</v>
      </c>
      <c r="O71" s="48" t="s">
        <v>28</v>
      </c>
      <c r="P71" s="117">
        <v>760000</v>
      </c>
      <c r="Q71" s="70">
        <f>P71*L71*I71</f>
        <v>2280000</v>
      </c>
      <c r="R71" s="70"/>
      <c r="S71" s="49">
        <f t="shared" ref="S71:S72" si="22">SUM(Q71:R71)</f>
        <v>2280000</v>
      </c>
    </row>
    <row r="72" spans="1:25" s="73" customFormat="1" ht="13.8">
      <c r="A72" s="66"/>
      <c r="B72" s="147" t="s">
        <v>158</v>
      </c>
      <c r="C72" s="145"/>
      <c r="D72" s="182"/>
      <c r="E72" s="183"/>
      <c r="F72" s="4"/>
      <c r="G72" s="4"/>
      <c r="H72" s="4"/>
      <c r="I72" s="114" t="s">
        <v>104</v>
      </c>
      <c r="J72" s="48" t="s">
        <v>30</v>
      </c>
      <c r="K72" s="48" t="s">
        <v>27</v>
      </c>
      <c r="L72" s="47">
        <v>1</v>
      </c>
      <c r="M72" s="48" t="s">
        <v>26</v>
      </c>
      <c r="N72" s="48" t="s">
        <v>27</v>
      </c>
      <c r="O72" s="48" t="s">
        <v>28</v>
      </c>
      <c r="P72" s="117">
        <v>520000</v>
      </c>
      <c r="Q72" s="70">
        <f>P72*L72*I72</f>
        <v>1560000</v>
      </c>
      <c r="R72" s="70"/>
      <c r="S72" s="49">
        <f t="shared" si="22"/>
        <v>1560000</v>
      </c>
    </row>
    <row r="73" spans="1:25" s="73" customFormat="1" ht="13.8">
      <c r="A73" s="66"/>
      <c r="B73" s="147"/>
      <c r="C73" s="145"/>
      <c r="D73" s="182"/>
      <c r="E73" s="183"/>
      <c r="F73" s="4"/>
      <c r="G73" s="4"/>
      <c r="H73" s="4"/>
      <c r="I73" s="114"/>
      <c r="J73" s="48"/>
      <c r="K73" s="48"/>
      <c r="L73" s="47"/>
      <c r="M73" s="48"/>
      <c r="N73" s="48"/>
      <c r="O73" s="48"/>
      <c r="P73" s="407"/>
      <c r="Q73" s="70"/>
      <c r="R73" s="70"/>
      <c r="S73" s="49"/>
    </row>
    <row r="74" spans="1:25" s="261" customFormat="1" ht="13.8">
      <c r="A74" s="258"/>
      <c r="B74" s="259" t="s">
        <v>29</v>
      </c>
      <c r="C74" s="260"/>
      <c r="D74" s="157"/>
      <c r="E74" s="157"/>
      <c r="F74" s="155"/>
      <c r="G74" s="155"/>
      <c r="H74" s="158"/>
      <c r="I74" s="159"/>
      <c r="J74" s="160"/>
      <c r="K74" s="161"/>
      <c r="L74" s="159"/>
      <c r="M74" s="160"/>
      <c r="N74" s="161"/>
      <c r="O74" s="160"/>
      <c r="P74" s="159"/>
      <c r="Q74" s="178"/>
      <c r="R74" s="254">
        <f t="shared" ref="R74:R75" si="23">P74*L74*I74</f>
        <v>0</v>
      </c>
      <c r="S74" s="177"/>
      <c r="T74" s="95"/>
    </row>
    <row r="75" spans="1:25" ht="13.8">
      <c r="A75" s="165"/>
      <c r="B75" s="147" t="s">
        <v>159</v>
      </c>
      <c r="C75" s="262"/>
      <c r="D75" s="157"/>
      <c r="E75" s="157"/>
      <c r="F75" s="155"/>
      <c r="G75" s="155"/>
      <c r="H75" s="158"/>
      <c r="I75" s="252" t="s">
        <v>100</v>
      </c>
      <c r="J75" s="160" t="s">
        <v>47</v>
      </c>
      <c r="K75" s="160" t="s">
        <v>27</v>
      </c>
      <c r="L75" s="159">
        <v>1</v>
      </c>
      <c r="M75" s="160" t="s">
        <v>26</v>
      </c>
      <c r="N75" s="160" t="s">
        <v>27</v>
      </c>
      <c r="O75" s="160" t="s">
        <v>28</v>
      </c>
      <c r="P75" s="250">
        <v>50000</v>
      </c>
      <c r="Q75" s="167"/>
      <c r="R75" s="254">
        <f t="shared" si="23"/>
        <v>100000</v>
      </c>
      <c r="S75" s="177">
        <f t="shared" ref="S75:S76" si="24">SUM(Q75:R75)</f>
        <v>100000</v>
      </c>
      <c r="T75" s="168"/>
    </row>
    <row r="76" spans="1:25">
      <c r="A76" s="165"/>
      <c r="B76" s="263"/>
      <c r="C76" s="263"/>
      <c r="D76" s="263"/>
      <c r="E76" s="264"/>
      <c r="F76" s="155"/>
      <c r="G76" s="155"/>
      <c r="H76" s="265"/>
      <c r="I76" s="264"/>
      <c r="J76" s="265"/>
      <c r="K76" s="265"/>
      <c r="L76" s="264"/>
      <c r="M76" s="265"/>
      <c r="N76" s="265"/>
      <c r="O76" s="265"/>
      <c r="P76" s="264"/>
      <c r="Q76" s="167"/>
      <c r="R76" s="167"/>
      <c r="S76" s="177">
        <f t="shared" si="24"/>
        <v>0</v>
      </c>
      <c r="T76" s="168"/>
    </row>
    <row r="77" spans="1:25" s="269" customFormat="1" ht="13.8" thickBot="1">
      <c r="A77" s="266"/>
      <c r="B77" s="518" t="s">
        <v>33</v>
      </c>
      <c r="C77" s="519"/>
      <c r="D77" s="519"/>
      <c r="E77" s="519"/>
      <c r="F77" s="519"/>
      <c r="G77" s="519"/>
      <c r="H77" s="519"/>
      <c r="I77" s="519"/>
      <c r="J77" s="519"/>
      <c r="K77" s="519"/>
      <c r="L77" s="519"/>
      <c r="M77" s="519"/>
      <c r="N77" s="519"/>
      <c r="O77" s="519"/>
      <c r="P77" s="520"/>
      <c r="Q77" s="267">
        <f>SUM(Q19:Q76)</f>
        <v>292713000</v>
      </c>
      <c r="R77" s="267">
        <f>SUM(R19:R76)</f>
        <v>100000</v>
      </c>
      <c r="S77" s="267">
        <f>SUM(S19:S76)</f>
        <v>292813000</v>
      </c>
      <c r="T77" s="268">
        <f>S77-199900000</f>
        <v>92913000</v>
      </c>
    </row>
    <row r="78" spans="1:25" ht="13.8" thickTop="1">
      <c r="A78" s="270"/>
    </row>
    <row r="79" spans="1:25" s="222" customFormat="1" ht="13.8">
      <c r="B79" s="272"/>
      <c r="F79" s="201"/>
      <c r="G79" s="201"/>
      <c r="I79" s="273"/>
      <c r="J79" s="273"/>
      <c r="L79" s="273"/>
      <c r="M79" s="273"/>
      <c r="N79" s="273"/>
      <c r="P79" s="218"/>
      <c r="Q79" s="218" t="s">
        <v>634</v>
      </c>
      <c r="V79" s="272"/>
      <c r="Y79" s="214"/>
    </row>
    <row r="80" spans="1:25" s="222" customFormat="1" ht="13.8">
      <c r="B80" s="272"/>
      <c r="F80" s="201"/>
      <c r="G80" s="201"/>
      <c r="I80" s="273"/>
      <c r="J80" s="273"/>
      <c r="L80" s="273"/>
      <c r="M80" s="273"/>
      <c r="N80" s="273"/>
      <c r="P80" s="218"/>
      <c r="Q80" s="218" t="s">
        <v>176</v>
      </c>
      <c r="V80" s="272"/>
      <c r="Y80" s="214"/>
    </row>
    <row r="81" spans="1:25" s="222" customFormat="1" ht="13.8">
      <c r="B81" s="272"/>
      <c r="F81" s="201"/>
      <c r="G81" s="201"/>
      <c r="I81" s="273"/>
      <c r="J81" s="273"/>
      <c r="L81" s="273"/>
      <c r="M81" s="273"/>
      <c r="N81" s="273"/>
      <c r="P81" s="218"/>
      <c r="Q81" s="218" t="s">
        <v>177</v>
      </c>
      <c r="V81" s="272"/>
      <c r="Y81" s="214"/>
    </row>
    <row r="82" spans="1:25" s="222" customFormat="1" ht="13.8">
      <c r="B82" s="272"/>
      <c r="F82" s="201"/>
      <c r="G82" s="201"/>
      <c r="I82" s="273"/>
      <c r="J82" s="273"/>
      <c r="L82" s="273"/>
      <c r="M82" s="273"/>
      <c r="N82" s="273"/>
      <c r="P82" s="218"/>
      <c r="Q82" s="218"/>
      <c r="V82" s="272"/>
      <c r="Y82" s="214"/>
    </row>
    <row r="83" spans="1:25" s="222" customFormat="1" ht="13.8">
      <c r="B83" s="272"/>
      <c r="F83" s="201"/>
      <c r="G83" s="201"/>
      <c r="I83" s="273"/>
      <c r="J83" s="273"/>
      <c r="L83" s="273"/>
      <c r="M83" s="273"/>
      <c r="N83" s="273"/>
      <c r="P83" s="218"/>
      <c r="Q83" s="218"/>
      <c r="V83" s="272"/>
      <c r="Y83" s="214"/>
    </row>
    <row r="84" spans="1:25" s="222" customFormat="1" ht="13.8">
      <c r="B84" s="272"/>
      <c r="F84" s="201"/>
      <c r="G84" s="201"/>
      <c r="I84" s="273"/>
      <c r="J84" s="273"/>
      <c r="L84" s="273"/>
      <c r="M84" s="273"/>
      <c r="N84" s="273"/>
      <c r="P84" s="218"/>
      <c r="Q84" s="218"/>
      <c r="V84" s="272"/>
      <c r="Y84" s="214"/>
    </row>
    <row r="85" spans="1:25" s="222" customFormat="1" ht="13.8">
      <c r="B85" s="272"/>
      <c r="F85" s="201"/>
      <c r="G85" s="201"/>
      <c r="I85" s="273"/>
      <c r="J85" s="273"/>
      <c r="L85" s="273"/>
      <c r="M85" s="273"/>
      <c r="N85" s="273"/>
      <c r="P85" s="218"/>
      <c r="Q85" s="218" t="s">
        <v>187</v>
      </c>
      <c r="V85" s="272"/>
      <c r="Y85" s="214"/>
    </row>
    <row r="86" spans="1:25">
      <c r="A86" s="270"/>
      <c r="F86" s="200"/>
      <c r="G86" s="279"/>
      <c r="Q86" s="218" t="s">
        <v>174</v>
      </c>
      <c r="R86" s="169"/>
      <c r="S86" s="169"/>
      <c r="T86" s="169"/>
      <c r="V86" s="173"/>
    </row>
    <row r="87" spans="1:25" s="222" customFormat="1">
      <c r="F87" s="277"/>
      <c r="G87" s="277"/>
      <c r="H87" s="273"/>
      <c r="J87" s="273"/>
      <c r="K87" s="273"/>
      <c r="M87" s="273"/>
      <c r="N87" s="273"/>
      <c r="O87" s="273"/>
      <c r="Q87" s="218"/>
      <c r="R87" s="218"/>
      <c r="S87" s="218"/>
      <c r="T87" s="214"/>
    </row>
    <row r="92" spans="1:25">
      <c r="G92" s="201" t="s">
        <v>219</v>
      </c>
    </row>
  </sheetData>
  <mergeCells count="10">
    <mergeCell ref="B17:P17"/>
    <mergeCell ref="B77:P77"/>
    <mergeCell ref="A1:S1"/>
    <mergeCell ref="E12:H12"/>
    <mergeCell ref="A14:A16"/>
    <mergeCell ref="B14:P14"/>
    <mergeCell ref="Q14:R14"/>
    <mergeCell ref="S14:S16"/>
    <mergeCell ref="B15:P15"/>
    <mergeCell ref="B16:P16"/>
  </mergeCells>
  <printOptions horizontalCentered="1"/>
  <pageMargins left="0.45" right="0.45" top="1" bottom="0.5" header="0.3" footer="0.3"/>
  <pageSetup paperSize="9" scale="77" fitToHeight="2" orientation="landscape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T66"/>
  <sheetViews>
    <sheetView topLeftCell="A40" zoomScaleSheetLayoutView="75" workbookViewId="0">
      <selection activeCell="J56" sqref="J56"/>
    </sheetView>
  </sheetViews>
  <sheetFormatPr defaultColWidth="8.88671875" defaultRowHeight="13.2"/>
  <cols>
    <col min="1" max="1" width="8.88671875" style="29"/>
    <col min="2" max="2" width="21.6640625" style="29" customWidth="1"/>
    <col min="3" max="3" width="3.109375" style="29" customWidth="1"/>
    <col min="4" max="4" width="11.5546875" style="200" bestFit="1" customWidth="1"/>
    <col min="5" max="5" width="11.44140625" style="200" bestFit="1" customWidth="1"/>
    <col min="6" max="6" width="8.88671875" style="29"/>
    <col min="7" max="8" width="8.88671875" style="89"/>
    <col min="9" max="9" width="7.88671875" style="29" bestFit="1" customWidth="1"/>
    <col min="10" max="10" width="4.6640625" style="89" bestFit="1" customWidth="1"/>
    <col min="11" max="11" width="3" style="89" bestFit="1" customWidth="1"/>
    <col min="12" max="12" width="6.33203125" style="29" bestFit="1" customWidth="1"/>
    <col min="13" max="13" width="5.44140625" style="89" bestFit="1" customWidth="1"/>
    <col min="14" max="14" width="3.33203125" style="89" bestFit="1" customWidth="1"/>
    <col min="15" max="15" width="4.5546875" style="89" bestFit="1" customWidth="1"/>
    <col min="16" max="16" width="14.44140625" style="29" bestFit="1" customWidth="1"/>
    <col min="17" max="17" width="14.33203125" style="28" customWidth="1"/>
    <col min="18" max="18" width="15.33203125" style="28" bestFit="1" customWidth="1"/>
    <col min="19" max="19" width="13.33203125" style="28" bestFit="1" customWidth="1"/>
    <col min="20" max="20" width="26.6640625" style="29" customWidth="1"/>
    <col min="21" max="16384" width="8.88671875" style="29"/>
  </cols>
  <sheetData>
    <row r="1" spans="1:19" s="16" customFormat="1">
      <c r="A1" s="486" t="s">
        <v>565</v>
      </c>
      <c r="B1" s="486"/>
      <c r="C1" s="486"/>
      <c r="D1" s="486"/>
      <c r="E1" s="486"/>
      <c r="F1" s="486"/>
      <c r="G1" s="486"/>
      <c r="H1" s="486"/>
      <c r="I1" s="486"/>
      <c r="J1" s="486"/>
      <c r="K1" s="486"/>
      <c r="L1" s="486"/>
      <c r="M1" s="486"/>
      <c r="N1" s="486"/>
      <c r="O1" s="486"/>
      <c r="P1" s="486"/>
      <c r="Q1" s="486"/>
      <c r="R1" s="486"/>
      <c r="S1" s="486"/>
    </row>
    <row r="2" spans="1:19" s="16" customFormat="1">
      <c r="A2" s="112"/>
      <c r="B2" s="112"/>
      <c r="C2" s="112"/>
      <c r="D2" s="280"/>
      <c r="E2" s="193"/>
      <c r="F2" s="112"/>
      <c r="G2" s="112"/>
      <c r="H2" s="112"/>
      <c r="I2" s="112"/>
      <c r="J2" s="112"/>
      <c r="K2" s="112"/>
      <c r="L2" s="112"/>
      <c r="M2" s="112"/>
      <c r="N2" s="112"/>
      <c r="O2" s="19"/>
      <c r="P2" s="19"/>
      <c r="Q2" s="19"/>
      <c r="R2" s="19"/>
      <c r="S2" s="20"/>
    </row>
    <row r="3" spans="1:19" s="16" customFormat="1">
      <c r="A3" s="21" t="s">
        <v>1</v>
      </c>
      <c r="B3" s="21"/>
      <c r="C3" s="22" t="s">
        <v>2</v>
      </c>
      <c r="D3" s="221" t="s">
        <v>236</v>
      </c>
      <c r="E3" s="20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9" s="16" customFormat="1">
      <c r="A4" s="21" t="s">
        <v>4</v>
      </c>
      <c r="B4" s="21"/>
      <c r="C4" s="22" t="s">
        <v>2</v>
      </c>
      <c r="D4" s="221" t="s">
        <v>34</v>
      </c>
      <c r="E4" s="20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9" s="16" customFormat="1">
      <c r="A5" s="21" t="s">
        <v>5</v>
      </c>
      <c r="B5" s="21"/>
      <c r="C5" s="22" t="s">
        <v>2</v>
      </c>
      <c r="D5" s="221" t="s">
        <v>37</v>
      </c>
      <c r="E5" s="19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9" s="16" customFormat="1">
      <c r="A6" s="21" t="s">
        <v>6</v>
      </c>
      <c r="B6" s="21"/>
      <c r="C6" s="22" t="s">
        <v>2</v>
      </c>
      <c r="D6" s="223" t="s">
        <v>220</v>
      </c>
      <c r="E6" s="20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9" s="16" customFormat="1">
      <c r="A7" s="21" t="s">
        <v>7</v>
      </c>
      <c r="B7" s="21"/>
      <c r="C7" s="22" t="s">
        <v>2</v>
      </c>
      <c r="D7" s="221" t="s">
        <v>35</v>
      </c>
      <c r="E7" s="20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376"/>
    </row>
    <row r="8" spans="1:19" s="16" customFormat="1">
      <c r="A8" s="21" t="s">
        <v>8</v>
      </c>
      <c r="B8" s="21"/>
      <c r="C8" s="22" t="s">
        <v>2</v>
      </c>
      <c r="D8" s="164" t="s">
        <v>165</v>
      </c>
      <c r="E8" s="19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9" s="16" customFormat="1">
      <c r="A9" s="21" t="s">
        <v>9</v>
      </c>
      <c r="B9" s="21"/>
      <c r="C9" s="22" t="s">
        <v>2</v>
      </c>
      <c r="D9" s="224" t="s">
        <v>221</v>
      </c>
      <c r="E9" s="195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2"/>
    </row>
    <row r="10" spans="1:19" s="16" customFormat="1">
      <c r="A10" s="21" t="s">
        <v>10</v>
      </c>
      <c r="B10" s="21"/>
      <c r="C10" s="22" t="s">
        <v>2</v>
      </c>
      <c r="D10" s="221" t="s">
        <v>156</v>
      </c>
      <c r="E10" s="20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9" s="16" customFormat="1">
      <c r="A11" s="21" t="s">
        <v>11</v>
      </c>
      <c r="B11" s="21"/>
      <c r="C11" s="22" t="s">
        <v>2</v>
      </c>
      <c r="D11" s="226" t="s">
        <v>599</v>
      </c>
      <c r="E11" s="20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76"/>
    </row>
    <row r="12" spans="1:19" s="16" customFormat="1">
      <c r="A12" s="22" t="s">
        <v>12</v>
      </c>
      <c r="C12" s="22" t="s">
        <v>2</v>
      </c>
      <c r="D12" s="281" t="s">
        <v>13</v>
      </c>
      <c r="E12" s="505">
        <f>S48</f>
        <v>466080000</v>
      </c>
      <c r="F12" s="505"/>
      <c r="G12" s="505"/>
      <c r="H12" s="505"/>
      <c r="I12" s="23"/>
      <c r="J12" s="22"/>
      <c r="K12" s="22"/>
      <c r="L12" s="22"/>
      <c r="M12" s="24"/>
      <c r="N12" s="22"/>
      <c r="O12" s="25"/>
      <c r="P12" s="26"/>
      <c r="Q12" s="27"/>
      <c r="R12" s="27"/>
      <c r="S12" s="28"/>
    </row>
    <row r="13" spans="1:19" s="16" customFormat="1" ht="13.8" thickBot="1">
      <c r="A13" s="22"/>
      <c r="B13" s="30"/>
      <c r="D13" s="196"/>
      <c r="E13" s="196"/>
      <c r="G13" s="31"/>
      <c r="H13" s="31"/>
      <c r="I13" s="31"/>
      <c r="K13" s="31"/>
      <c r="L13" s="27"/>
      <c r="M13" s="27"/>
      <c r="N13" s="27"/>
      <c r="O13" s="27"/>
      <c r="P13" s="27"/>
      <c r="Q13" s="27"/>
      <c r="R13" s="27"/>
      <c r="S13" s="27"/>
    </row>
    <row r="14" spans="1:19" s="16" customFormat="1" ht="16.2" thickTop="1">
      <c r="A14" s="487" t="s">
        <v>14</v>
      </c>
      <c r="B14" s="490" t="s">
        <v>15</v>
      </c>
      <c r="C14" s="491"/>
      <c r="D14" s="491"/>
      <c r="E14" s="491"/>
      <c r="F14" s="491"/>
      <c r="G14" s="491"/>
      <c r="H14" s="491"/>
      <c r="I14" s="491"/>
      <c r="J14" s="491"/>
      <c r="K14" s="491"/>
      <c r="L14" s="491"/>
      <c r="M14" s="491"/>
      <c r="N14" s="491"/>
      <c r="O14" s="491"/>
      <c r="P14" s="492"/>
      <c r="Q14" s="539" t="s">
        <v>564</v>
      </c>
      <c r="R14" s="539"/>
      <c r="S14" s="495" t="s">
        <v>16</v>
      </c>
    </row>
    <row r="15" spans="1:19" s="16" customFormat="1" ht="26.4">
      <c r="A15" s="488"/>
      <c r="B15" s="498" t="s">
        <v>17</v>
      </c>
      <c r="C15" s="499"/>
      <c r="D15" s="499"/>
      <c r="E15" s="499"/>
      <c r="F15" s="499"/>
      <c r="G15" s="499"/>
      <c r="H15" s="499"/>
      <c r="I15" s="499"/>
      <c r="J15" s="499"/>
      <c r="K15" s="499"/>
      <c r="L15" s="499"/>
      <c r="M15" s="499"/>
      <c r="N15" s="499"/>
      <c r="O15" s="499"/>
      <c r="P15" s="500"/>
      <c r="Q15" s="33" t="s">
        <v>161</v>
      </c>
      <c r="R15" s="33" t="s">
        <v>162</v>
      </c>
      <c r="S15" s="496"/>
    </row>
    <row r="16" spans="1:19" s="16" customFormat="1">
      <c r="A16" s="489"/>
      <c r="B16" s="501" t="s">
        <v>19</v>
      </c>
      <c r="C16" s="502"/>
      <c r="D16" s="502"/>
      <c r="E16" s="502"/>
      <c r="F16" s="502"/>
      <c r="G16" s="502"/>
      <c r="H16" s="502"/>
      <c r="I16" s="502"/>
      <c r="J16" s="502"/>
      <c r="K16" s="502"/>
      <c r="L16" s="502"/>
      <c r="M16" s="502"/>
      <c r="N16" s="502"/>
      <c r="O16" s="502"/>
      <c r="P16" s="503"/>
      <c r="Q16" s="93">
        <v>532111</v>
      </c>
      <c r="R16" s="93">
        <v>521219</v>
      </c>
      <c r="S16" s="497"/>
    </row>
    <row r="17" spans="1:20" s="16" customFormat="1">
      <c r="A17" s="36" t="s">
        <v>21</v>
      </c>
      <c r="B17" s="506">
        <v>2</v>
      </c>
      <c r="C17" s="507"/>
      <c r="D17" s="507"/>
      <c r="E17" s="507"/>
      <c r="F17" s="507"/>
      <c r="G17" s="507"/>
      <c r="H17" s="507"/>
      <c r="I17" s="507"/>
      <c r="J17" s="507"/>
      <c r="K17" s="507"/>
      <c r="L17" s="507"/>
      <c r="M17" s="507"/>
      <c r="N17" s="507"/>
      <c r="O17" s="507"/>
      <c r="P17" s="508"/>
      <c r="Q17" s="36" t="s">
        <v>22</v>
      </c>
      <c r="R17" s="36" t="s">
        <v>23</v>
      </c>
      <c r="S17" s="36" t="s">
        <v>25</v>
      </c>
    </row>
    <row r="18" spans="1:20">
      <c r="A18" s="37"/>
      <c r="B18" s="38"/>
      <c r="C18" s="38"/>
      <c r="D18" s="197"/>
      <c r="E18" s="197"/>
      <c r="F18" s="38"/>
      <c r="G18" s="39"/>
      <c r="H18" s="39"/>
      <c r="I18" s="38"/>
      <c r="J18" s="39"/>
      <c r="K18" s="39"/>
      <c r="L18" s="38"/>
      <c r="M18" s="39"/>
      <c r="N18" s="39"/>
      <c r="O18" s="39"/>
      <c r="P18" s="38"/>
      <c r="Q18" s="40"/>
      <c r="R18" s="40"/>
      <c r="S18" s="40"/>
      <c r="T18" s="29">
        <f>E12-T23-S42-S43-S46</f>
        <v>0</v>
      </c>
    </row>
    <row r="19" spans="1:20">
      <c r="A19" s="107"/>
      <c r="B19" s="55" t="s">
        <v>165</v>
      </c>
      <c r="C19" s="4"/>
      <c r="D19" s="182"/>
      <c r="E19" s="182"/>
      <c r="F19" s="4"/>
      <c r="G19" s="4"/>
      <c r="H19" s="4"/>
      <c r="I19" s="4"/>
      <c r="J19" s="4"/>
      <c r="K19" s="4"/>
      <c r="L19" s="4"/>
      <c r="M19" s="4"/>
      <c r="N19" s="4"/>
      <c r="O19" s="4"/>
      <c r="P19" s="378"/>
      <c r="Q19" s="43"/>
      <c r="R19" s="43"/>
      <c r="S19" s="50"/>
    </row>
    <row r="20" spans="1:20">
      <c r="A20" s="107"/>
      <c r="B20" s="46"/>
      <c r="C20" s="16"/>
      <c r="D20" s="196"/>
      <c r="E20" s="19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43"/>
      <c r="R20" s="43"/>
      <c r="S20" s="50"/>
    </row>
    <row r="21" spans="1:20" ht="13.8">
      <c r="A21" s="44"/>
      <c r="B21" s="104" t="s">
        <v>160</v>
      </c>
      <c r="C21" s="139"/>
      <c r="D21" s="282"/>
      <c r="E21" s="183"/>
      <c r="F21" s="47"/>
      <c r="G21" s="48"/>
      <c r="H21" s="48"/>
      <c r="I21" s="47"/>
      <c r="J21" s="48"/>
      <c r="K21" s="48"/>
      <c r="L21" s="47"/>
      <c r="M21" s="48"/>
      <c r="N21" s="48"/>
      <c r="O21" s="48"/>
      <c r="P21" s="47"/>
      <c r="Q21" s="49"/>
      <c r="R21" s="49"/>
      <c r="S21" s="49"/>
      <c r="T21" s="29">
        <f>E12-T18</f>
        <v>466080000</v>
      </c>
    </row>
    <row r="22" spans="1:20" ht="13.8">
      <c r="A22" s="54"/>
      <c r="B22" s="299" t="s">
        <v>166</v>
      </c>
      <c r="C22" s="142"/>
      <c r="D22" s="182"/>
      <c r="E22" s="183"/>
      <c r="F22" s="4"/>
      <c r="G22" s="4"/>
      <c r="H22" s="4"/>
      <c r="I22" s="303"/>
      <c r="J22" s="304"/>
      <c r="K22" s="48"/>
      <c r="L22" s="47"/>
      <c r="M22" s="48"/>
      <c r="N22" s="48"/>
      <c r="O22" s="48"/>
      <c r="P22" s="117"/>
      <c r="Q22" s="63"/>
      <c r="R22" s="9"/>
      <c r="S22" s="49">
        <f>SUM(Q22:R22)</f>
        <v>0</v>
      </c>
    </row>
    <row r="23" spans="1:20" ht="13.8">
      <c r="A23" s="54"/>
      <c r="B23" s="301" t="s">
        <v>232</v>
      </c>
      <c r="C23" s="142"/>
      <c r="D23" s="404"/>
      <c r="E23" s="404">
        <f>((D23/11)+(D23*15%)+D23)</f>
        <v>0</v>
      </c>
      <c r="F23" s="404"/>
      <c r="G23" s="153"/>
      <c r="H23" s="153"/>
      <c r="I23" s="47">
        <v>15</v>
      </c>
      <c r="J23" s="64" t="s">
        <v>47</v>
      </c>
      <c r="K23" s="48" t="s">
        <v>27</v>
      </c>
      <c r="L23" s="47">
        <v>1</v>
      </c>
      <c r="M23" s="48" t="s">
        <v>26</v>
      </c>
      <c r="N23" s="48" t="s">
        <v>27</v>
      </c>
      <c r="O23" s="48" t="s">
        <v>28</v>
      </c>
      <c r="P23" s="117">
        <v>2000000</v>
      </c>
      <c r="Q23" s="63">
        <f>P23*L23*I23</f>
        <v>30000000</v>
      </c>
      <c r="R23" s="9"/>
      <c r="S23" s="177">
        <f>Q23</f>
        <v>30000000</v>
      </c>
      <c r="T23" s="29">
        <f>SUM(S23:S39)</f>
        <v>462140000</v>
      </c>
    </row>
    <row r="24" spans="1:20" ht="13.8">
      <c r="A24" s="54"/>
      <c r="B24" s="301" t="s">
        <v>233</v>
      </c>
      <c r="C24" s="142"/>
      <c r="D24" s="411">
        <v>405000</v>
      </c>
      <c r="E24" s="411">
        <f>((D24/11)+(D24*15%)+D24)</f>
        <v>502568.18181818182</v>
      </c>
      <c r="F24" s="411"/>
      <c r="G24" s="153"/>
      <c r="H24" s="153"/>
      <c r="I24" s="47">
        <v>36</v>
      </c>
      <c r="J24" s="64" t="s">
        <v>47</v>
      </c>
      <c r="K24" s="48" t="s">
        <v>27</v>
      </c>
      <c r="L24" s="47">
        <v>1</v>
      </c>
      <c r="M24" s="48" t="s">
        <v>26</v>
      </c>
      <c r="N24" s="48" t="s">
        <v>27</v>
      </c>
      <c r="O24" s="48" t="s">
        <v>28</v>
      </c>
      <c r="P24" s="117">
        <v>600000</v>
      </c>
      <c r="Q24" s="63">
        <f t="shared" ref="Q24:Q32" si="0">P24*L24*I24</f>
        <v>21600000</v>
      </c>
      <c r="R24" s="9"/>
      <c r="S24" s="49">
        <f t="shared" ref="S24:S41" si="1">Q24</f>
        <v>21600000</v>
      </c>
      <c r="T24" s="29">
        <f>T23+T18</f>
        <v>462140000</v>
      </c>
    </row>
    <row r="25" spans="1:20" ht="13.8">
      <c r="A25" s="54"/>
      <c r="B25" s="302" t="s">
        <v>231</v>
      </c>
      <c r="C25" s="142"/>
      <c r="D25" s="411"/>
      <c r="E25" s="411">
        <f>((D25/11)+(D25*15%)+D25)</f>
        <v>0</v>
      </c>
      <c r="F25" s="411"/>
      <c r="G25" s="153"/>
      <c r="H25" s="153"/>
      <c r="I25" s="47">
        <v>5</v>
      </c>
      <c r="J25" s="64" t="s">
        <v>47</v>
      </c>
      <c r="K25" s="48" t="s">
        <v>27</v>
      </c>
      <c r="L25" s="47">
        <v>1</v>
      </c>
      <c r="M25" s="48" t="s">
        <v>26</v>
      </c>
      <c r="N25" s="48" t="s">
        <v>27</v>
      </c>
      <c r="O25" s="48" t="s">
        <v>28</v>
      </c>
      <c r="P25" s="117">
        <v>3500000</v>
      </c>
      <c r="Q25" s="63">
        <f t="shared" si="0"/>
        <v>17500000</v>
      </c>
      <c r="R25" s="9"/>
      <c r="S25" s="49">
        <f t="shared" si="1"/>
        <v>17500000</v>
      </c>
    </row>
    <row r="26" spans="1:20" ht="13.8">
      <c r="A26" s="54"/>
      <c r="B26" s="377" t="s">
        <v>494</v>
      </c>
      <c r="C26" s="142"/>
      <c r="D26" s="411">
        <v>20500000</v>
      </c>
      <c r="E26" s="411">
        <f>((D26*10%)+(D26*15%)+D26)</f>
        <v>25625000</v>
      </c>
      <c r="F26" s="411"/>
      <c r="G26" s="153"/>
      <c r="H26" s="153"/>
      <c r="I26" s="47">
        <v>2</v>
      </c>
      <c r="J26" s="64" t="s">
        <v>47</v>
      </c>
      <c r="K26" s="48" t="s">
        <v>27</v>
      </c>
      <c r="L26" s="47">
        <v>1</v>
      </c>
      <c r="M26" s="48" t="s">
        <v>26</v>
      </c>
      <c r="N26" s="48" t="s">
        <v>27</v>
      </c>
      <c r="O26" s="48" t="s">
        <v>28</v>
      </c>
      <c r="P26" s="117">
        <v>25625000</v>
      </c>
      <c r="Q26" s="63">
        <f t="shared" si="0"/>
        <v>51250000</v>
      </c>
      <c r="R26" s="9"/>
      <c r="S26" s="49">
        <f t="shared" si="1"/>
        <v>51250000</v>
      </c>
      <c r="T26" s="29">
        <f>SUM(T25:T25)</f>
        <v>0</v>
      </c>
    </row>
    <row r="27" spans="1:20" ht="13.8">
      <c r="A27" s="54"/>
      <c r="B27" s="377" t="s">
        <v>490</v>
      </c>
      <c r="C27" s="142"/>
      <c r="D27" s="411">
        <v>750000</v>
      </c>
      <c r="E27" s="411">
        <f t="shared" ref="E27:E33" si="2">((D27*10%)+(D27*15%)+D27)</f>
        <v>937500</v>
      </c>
      <c r="F27" s="411"/>
      <c r="G27" s="153"/>
      <c r="H27" s="153"/>
      <c r="I27" s="47">
        <v>4</v>
      </c>
      <c r="J27" s="64" t="s">
        <v>47</v>
      </c>
      <c r="K27" s="48" t="s">
        <v>27</v>
      </c>
      <c r="L27" s="47">
        <v>1</v>
      </c>
      <c r="M27" s="48" t="s">
        <v>26</v>
      </c>
      <c r="N27" s="48" t="s">
        <v>27</v>
      </c>
      <c r="O27" s="48" t="s">
        <v>28</v>
      </c>
      <c r="P27" s="117">
        <v>5000000</v>
      </c>
      <c r="Q27" s="63">
        <f t="shared" si="0"/>
        <v>20000000</v>
      </c>
      <c r="R27" s="9"/>
      <c r="S27" s="49">
        <f t="shared" si="1"/>
        <v>20000000</v>
      </c>
      <c r="T27" s="29">
        <f>E12-T26</f>
        <v>466080000</v>
      </c>
    </row>
    <row r="28" spans="1:20" ht="13.8">
      <c r="A28" s="54"/>
      <c r="B28" s="377" t="s">
        <v>491</v>
      </c>
      <c r="C28" s="142"/>
      <c r="D28" s="411"/>
      <c r="E28" s="411">
        <f t="shared" si="2"/>
        <v>0</v>
      </c>
      <c r="F28" s="411"/>
      <c r="G28" s="153"/>
      <c r="H28" s="153"/>
      <c r="I28" s="47">
        <v>6</v>
      </c>
      <c r="J28" s="64" t="s">
        <v>47</v>
      </c>
      <c r="K28" s="48" t="s">
        <v>27</v>
      </c>
      <c r="L28" s="47">
        <v>1</v>
      </c>
      <c r="M28" s="48" t="s">
        <v>26</v>
      </c>
      <c r="N28" s="48" t="s">
        <v>27</v>
      </c>
      <c r="O28" s="48" t="s">
        <v>28</v>
      </c>
      <c r="P28" s="117">
        <v>4000000</v>
      </c>
      <c r="Q28" s="63">
        <f t="shared" si="0"/>
        <v>24000000</v>
      </c>
      <c r="R28" s="9"/>
      <c r="S28" s="49">
        <f t="shared" si="1"/>
        <v>24000000</v>
      </c>
      <c r="T28" s="29">
        <f>P31-185000</f>
        <v>6815000</v>
      </c>
    </row>
    <row r="29" spans="1:20" ht="13.8">
      <c r="A29" s="54"/>
      <c r="B29" s="377" t="s">
        <v>97</v>
      </c>
      <c r="C29" s="142"/>
      <c r="D29" s="411"/>
      <c r="E29" s="411">
        <f t="shared" si="2"/>
        <v>0</v>
      </c>
      <c r="F29" s="411"/>
      <c r="G29" s="153"/>
      <c r="H29" s="153"/>
      <c r="I29" s="308">
        <v>1</v>
      </c>
      <c r="J29" s="307" t="s">
        <v>47</v>
      </c>
      <c r="K29" s="48" t="s">
        <v>27</v>
      </c>
      <c r="L29" s="47">
        <v>1</v>
      </c>
      <c r="M29" s="48" t="s">
        <v>26</v>
      </c>
      <c r="N29" s="48" t="s">
        <v>27</v>
      </c>
      <c r="O29" s="48" t="s">
        <v>28</v>
      </c>
      <c r="P29" s="117">
        <v>67415000</v>
      </c>
      <c r="Q29" s="63">
        <f t="shared" si="0"/>
        <v>67415000</v>
      </c>
      <c r="R29" s="9"/>
      <c r="S29" s="49">
        <f t="shared" si="1"/>
        <v>67415000</v>
      </c>
      <c r="T29" s="29">
        <f>S29+Sheet1!B1</f>
        <v>396622000</v>
      </c>
    </row>
    <row r="30" spans="1:20" ht="13.8">
      <c r="A30" s="54"/>
      <c r="B30" s="377" t="s">
        <v>492</v>
      </c>
      <c r="C30" s="142"/>
      <c r="D30" s="411">
        <v>4750000</v>
      </c>
      <c r="E30" s="411">
        <f t="shared" si="2"/>
        <v>5937500</v>
      </c>
      <c r="F30" s="411"/>
      <c r="G30" s="153"/>
      <c r="H30" s="153"/>
      <c r="I30" s="47">
        <v>10</v>
      </c>
      <c r="J30" s="64" t="s">
        <v>47</v>
      </c>
      <c r="K30" s="48" t="s">
        <v>27</v>
      </c>
      <c r="L30" s="47">
        <v>1</v>
      </c>
      <c r="M30" s="48" t="s">
        <v>26</v>
      </c>
      <c r="N30" s="48" t="s">
        <v>27</v>
      </c>
      <c r="O30" s="48" t="s">
        <v>28</v>
      </c>
      <c r="P30" s="117">
        <v>5937500</v>
      </c>
      <c r="Q30" s="63">
        <f t="shared" si="0"/>
        <v>59375000</v>
      </c>
      <c r="R30" s="9"/>
      <c r="S30" s="49">
        <f t="shared" si="1"/>
        <v>59375000</v>
      </c>
    </row>
    <row r="31" spans="1:20" ht="13.8">
      <c r="A31" s="54"/>
      <c r="B31" s="377" t="s">
        <v>595</v>
      </c>
      <c r="C31" s="142"/>
      <c r="D31" s="411"/>
      <c r="E31" s="411">
        <f t="shared" si="2"/>
        <v>0</v>
      </c>
      <c r="F31" s="411"/>
      <c r="G31" s="153"/>
      <c r="H31" s="153"/>
      <c r="I31" s="47">
        <v>3</v>
      </c>
      <c r="J31" s="64" t="s">
        <v>234</v>
      </c>
      <c r="K31" s="48" t="s">
        <v>27</v>
      </c>
      <c r="L31" s="47">
        <v>1</v>
      </c>
      <c r="M31" s="48" t="s">
        <v>26</v>
      </c>
      <c r="N31" s="48" t="s">
        <v>27</v>
      </c>
      <c r="O31" s="48" t="s">
        <v>28</v>
      </c>
      <c r="P31" s="117">
        <v>7000000</v>
      </c>
      <c r="Q31" s="63">
        <f t="shared" si="0"/>
        <v>21000000</v>
      </c>
      <c r="R31" s="9"/>
      <c r="S31" s="49">
        <f t="shared" si="1"/>
        <v>21000000</v>
      </c>
      <c r="T31" s="29">
        <f>P29+Sheet1!B1</f>
        <v>396622000</v>
      </c>
    </row>
    <row r="32" spans="1:20" ht="13.8">
      <c r="A32" s="54"/>
      <c r="B32" s="377" t="s">
        <v>580</v>
      </c>
      <c r="C32" s="142"/>
      <c r="D32" s="411"/>
      <c r="E32" s="411">
        <f t="shared" si="2"/>
        <v>0</v>
      </c>
      <c r="F32" s="411"/>
      <c r="G32" s="153"/>
      <c r="H32" s="153"/>
      <c r="I32" s="308">
        <v>2</v>
      </c>
      <c r="J32" s="307" t="s">
        <v>47</v>
      </c>
      <c r="K32" s="48" t="s">
        <v>27</v>
      </c>
      <c r="L32" s="47">
        <v>1</v>
      </c>
      <c r="M32" s="48" t="s">
        <v>26</v>
      </c>
      <c r="N32" s="48" t="s">
        <v>27</v>
      </c>
      <c r="O32" s="48" t="s">
        <v>28</v>
      </c>
      <c r="P32" s="117">
        <v>1500000</v>
      </c>
      <c r="Q32" s="63">
        <f t="shared" si="0"/>
        <v>3000000</v>
      </c>
      <c r="R32" s="9"/>
      <c r="S32" s="49">
        <f t="shared" si="1"/>
        <v>3000000</v>
      </c>
    </row>
    <row r="33" spans="1:20" ht="13.8">
      <c r="A33" s="54"/>
      <c r="B33" s="377" t="s">
        <v>503</v>
      </c>
      <c r="C33" s="142"/>
      <c r="D33" s="411"/>
      <c r="E33" s="411">
        <f t="shared" si="2"/>
        <v>0</v>
      </c>
      <c r="F33" s="411"/>
      <c r="G33" s="153"/>
      <c r="H33" s="153"/>
      <c r="I33" s="308">
        <v>250</v>
      </c>
      <c r="J33" s="307" t="s">
        <v>504</v>
      </c>
      <c r="K33" s="48" t="s">
        <v>27</v>
      </c>
      <c r="L33" s="47">
        <v>1</v>
      </c>
      <c r="M33" s="48" t="s">
        <v>26</v>
      </c>
      <c r="N33" s="48" t="s">
        <v>27</v>
      </c>
      <c r="O33" s="48" t="s">
        <v>28</v>
      </c>
      <c r="P33" s="117">
        <v>200000</v>
      </c>
      <c r="Q33" s="63">
        <f t="shared" ref="Q33" si="3">P33*L33*I33</f>
        <v>50000000</v>
      </c>
      <c r="R33" s="9"/>
      <c r="S33" s="49">
        <f t="shared" ref="S33" si="4">Q33</f>
        <v>50000000</v>
      </c>
    </row>
    <row r="34" spans="1:20" ht="13.8">
      <c r="A34" s="54"/>
      <c r="B34" s="377" t="s">
        <v>581</v>
      </c>
      <c r="C34" s="142"/>
      <c r="D34" s="411"/>
      <c r="E34" s="411"/>
      <c r="F34" s="411"/>
      <c r="G34" s="153"/>
      <c r="H34" s="153"/>
      <c r="I34" s="405">
        <v>1</v>
      </c>
      <c r="J34" s="406" t="s">
        <v>47</v>
      </c>
      <c r="K34" s="48" t="s">
        <v>27</v>
      </c>
      <c r="L34" s="47">
        <v>1</v>
      </c>
      <c r="M34" s="48" t="s">
        <v>26</v>
      </c>
      <c r="N34" s="48" t="s">
        <v>27</v>
      </c>
      <c r="O34" s="48" t="s">
        <v>28</v>
      </c>
      <c r="P34" s="117">
        <v>15000000</v>
      </c>
      <c r="Q34" s="63">
        <f t="shared" ref="Q34:Q35" si="5">P34*L34*I34</f>
        <v>15000000</v>
      </c>
      <c r="R34" s="9"/>
      <c r="S34" s="49">
        <f t="shared" ref="S34:S35" si="6">Q34</f>
        <v>15000000</v>
      </c>
      <c r="T34" s="29">
        <f>P36+Sheet1!D2</f>
        <v>29933916.666666668</v>
      </c>
    </row>
    <row r="35" spans="1:20" ht="13.8">
      <c r="A35" s="54"/>
      <c r="B35" s="377" t="s">
        <v>582</v>
      </c>
      <c r="C35" s="142"/>
      <c r="D35" s="404"/>
      <c r="E35" s="404"/>
      <c r="F35" s="404"/>
      <c r="G35" s="153"/>
      <c r="H35" s="153"/>
      <c r="I35" s="405">
        <v>3</v>
      </c>
      <c r="J35" s="406" t="s">
        <v>47</v>
      </c>
      <c r="K35" s="48" t="s">
        <v>27</v>
      </c>
      <c r="L35" s="47">
        <v>1</v>
      </c>
      <c r="M35" s="48" t="s">
        <v>26</v>
      </c>
      <c r="N35" s="48" t="s">
        <v>27</v>
      </c>
      <c r="O35" s="48" t="s">
        <v>28</v>
      </c>
      <c r="P35" s="117">
        <v>2400000</v>
      </c>
      <c r="Q35" s="63">
        <f t="shared" si="5"/>
        <v>7200000</v>
      </c>
      <c r="R35" s="9"/>
      <c r="S35" s="49">
        <f t="shared" si="6"/>
        <v>7200000</v>
      </c>
    </row>
    <row r="36" spans="1:20" ht="13.8">
      <c r="A36" s="54"/>
      <c r="B36" s="377" t="s">
        <v>596</v>
      </c>
      <c r="C36" s="142"/>
      <c r="D36" s="404"/>
      <c r="E36" s="404"/>
      <c r="F36" s="404"/>
      <c r="G36" s="153"/>
      <c r="H36" s="153"/>
      <c r="I36" s="405">
        <v>6</v>
      </c>
      <c r="J36" s="406" t="s">
        <v>47</v>
      </c>
      <c r="K36" s="48" t="s">
        <v>27</v>
      </c>
      <c r="L36" s="47">
        <v>1</v>
      </c>
      <c r="M36" s="48" t="s">
        <v>26</v>
      </c>
      <c r="N36" s="48" t="s">
        <v>27</v>
      </c>
      <c r="O36" s="48" t="s">
        <v>28</v>
      </c>
      <c r="P36" s="117">
        <v>2500000</v>
      </c>
      <c r="Q36" s="63">
        <f t="shared" ref="Q36:Q38" si="7">P36*L36*I36</f>
        <v>15000000</v>
      </c>
      <c r="R36" s="9"/>
      <c r="S36" s="49">
        <f t="shared" ref="S36:S38" si="8">Q36</f>
        <v>15000000</v>
      </c>
      <c r="T36" s="29">
        <f>846000/6</f>
        <v>141000</v>
      </c>
    </row>
    <row r="37" spans="1:20" ht="13.8">
      <c r="A37" s="54"/>
      <c r="B37" s="377" t="s">
        <v>586</v>
      </c>
      <c r="C37" s="142"/>
      <c r="D37" s="404"/>
      <c r="E37" s="404"/>
      <c r="F37" s="404"/>
      <c r="G37" s="153"/>
      <c r="H37" s="153"/>
      <c r="I37" s="405">
        <v>6</v>
      </c>
      <c r="J37" s="406" t="s">
        <v>47</v>
      </c>
      <c r="K37" s="48" t="s">
        <v>27</v>
      </c>
      <c r="L37" s="47">
        <v>1</v>
      </c>
      <c r="M37" s="48" t="s">
        <v>26</v>
      </c>
      <c r="N37" s="48" t="s">
        <v>27</v>
      </c>
      <c r="O37" s="48" t="s">
        <v>28</v>
      </c>
      <c r="P37" s="117">
        <v>2800000</v>
      </c>
      <c r="Q37" s="63">
        <f t="shared" si="7"/>
        <v>16800000</v>
      </c>
      <c r="R37" s="9"/>
      <c r="S37" s="49">
        <f t="shared" si="8"/>
        <v>16800000</v>
      </c>
      <c r="T37" s="29">
        <f>2500000-T36</f>
        <v>2359000</v>
      </c>
    </row>
    <row r="38" spans="1:20" ht="13.8">
      <c r="A38" s="54"/>
      <c r="B38" s="377" t="s">
        <v>587</v>
      </c>
      <c r="C38" s="142"/>
      <c r="D38" s="404"/>
      <c r="E38" s="404"/>
      <c r="F38" s="404"/>
      <c r="G38" s="153"/>
      <c r="H38" s="153"/>
      <c r="I38" s="405">
        <v>6</v>
      </c>
      <c r="J38" s="406" t="s">
        <v>47</v>
      </c>
      <c r="K38" s="48" t="s">
        <v>27</v>
      </c>
      <c r="L38" s="47">
        <v>1</v>
      </c>
      <c r="M38" s="48" t="s">
        <v>26</v>
      </c>
      <c r="N38" s="48" t="s">
        <v>27</v>
      </c>
      <c r="O38" s="48" t="s">
        <v>28</v>
      </c>
      <c r="P38" s="117">
        <v>3000000</v>
      </c>
      <c r="Q38" s="63">
        <f t="shared" si="7"/>
        <v>18000000</v>
      </c>
      <c r="R38" s="9"/>
      <c r="S38" s="49">
        <f t="shared" si="8"/>
        <v>18000000</v>
      </c>
    </row>
    <row r="39" spans="1:20" ht="13.8">
      <c r="A39" s="54"/>
      <c r="B39" s="377" t="s">
        <v>598</v>
      </c>
      <c r="C39" s="142"/>
      <c r="D39" s="404"/>
      <c r="E39" s="404"/>
      <c r="F39" s="404"/>
      <c r="G39" s="153"/>
      <c r="H39" s="153"/>
      <c r="I39" s="405">
        <v>5</v>
      </c>
      <c r="J39" s="406" t="s">
        <v>637</v>
      </c>
      <c r="K39" s="48" t="s">
        <v>27</v>
      </c>
      <c r="L39" s="47">
        <v>1</v>
      </c>
      <c r="M39" s="48" t="s">
        <v>26</v>
      </c>
      <c r="N39" s="48" t="s">
        <v>27</v>
      </c>
      <c r="O39" s="48" t="s">
        <v>28</v>
      </c>
      <c r="P39" s="117">
        <v>5000000</v>
      </c>
      <c r="Q39" s="63">
        <f t="shared" ref="Q39" si="9">P39*L39*I39</f>
        <v>25000000</v>
      </c>
      <c r="R39" s="9"/>
      <c r="S39" s="49">
        <f t="shared" ref="S39" si="10">Q39</f>
        <v>25000000</v>
      </c>
    </row>
    <row r="40" spans="1:20" s="73" customFormat="1" ht="13.8">
      <c r="A40" s="66"/>
      <c r="B40" s="300"/>
      <c r="C40" s="143"/>
      <c r="D40" s="199"/>
      <c r="E40" s="404"/>
      <c r="F40" s="404"/>
      <c r="G40" s="207"/>
      <c r="H40" s="207"/>
      <c r="I40" s="305"/>
      <c r="J40" s="306"/>
      <c r="K40" s="48"/>
      <c r="L40" s="47"/>
      <c r="M40" s="48"/>
      <c r="N40" s="48"/>
      <c r="O40" s="48"/>
      <c r="P40" s="117"/>
      <c r="Q40" s="70">
        <f>P40*L40*I40</f>
        <v>0</v>
      </c>
      <c r="R40" s="70"/>
      <c r="S40" s="49">
        <f t="shared" si="1"/>
        <v>0</v>
      </c>
    </row>
    <row r="41" spans="1:20" ht="13.8">
      <c r="A41" s="54"/>
      <c r="B41" s="146" t="s">
        <v>157</v>
      </c>
      <c r="C41" s="143"/>
      <c r="D41" s="182"/>
      <c r="E41" s="404"/>
      <c r="F41" s="404"/>
      <c r="G41" s="153"/>
      <c r="H41" s="153"/>
      <c r="I41" s="47"/>
      <c r="J41" s="48"/>
      <c r="K41" s="48"/>
      <c r="L41" s="47"/>
      <c r="M41" s="48"/>
      <c r="N41" s="48"/>
      <c r="O41" s="48"/>
      <c r="P41" s="47"/>
      <c r="Q41" s="49">
        <f>P41*L41*I41</f>
        <v>0</v>
      </c>
      <c r="R41" s="49"/>
      <c r="S41" s="49">
        <f t="shared" si="1"/>
        <v>0</v>
      </c>
      <c r="T41" s="29">
        <f>P29+Sheet1!B1</f>
        <v>396622000</v>
      </c>
    </row>
    <row r="42" spans="1:20" s="73" customFormat="1" ht="13.8">
      <c r="A42" s="66"/>
      <c r="B42" s="147" t="s">
        <v>170</v>
      </c>
      <c r="C42" s="144"/>
      <c r="D42" s="182"/>
      <c r="E42" s="183"/>
      <c r="F42" s="4"/>
      <c r="G42" s="4"/>
      <c r="H42" s="4"/>
      <c r="I42" s="114" t="s">
        <v>104</v>
      </c>
      <c r="J42" s="48" t="s">
        <v>30</v>
      </c>
      <c r="K42" s="48" t="s">
        <v>27</v>
      </c>
      <c r="L42" s="47">
        <v>1</v>
      </c>
      <c r="M42" s="48" t="s">
        <v>26</v>
      </c>
      <c r="N42" s="48" t="s">
        <v>27</v>
      </c>
      <c r="O42" s="48" t="s">
        <v>28</v>
      </c>
      <c r="P42" s="117">
        <v>760000</v>
      </c>
      <c r="Q42" s="70">
        <f>P42*L42*I42</f>
        <v>2280000</v>
      </c>
      <c r="R42" s="70"/>
      <c r="S42" s="49">
        <f t="shared" ref="S42:S47" si="11">SUM(Q42:R42)</f>
        <v>2280000</v>
      </c>
    </row>
    <row r="43" spans="1:20" s="73" customFormat="1" ht="13.8">
      <c r="A43" s="66"/>
      <c r="B43" s="147" t="s">
        <v>158</v>
      </c>
      <c r="C43" s="145"/>
      <c r="D43" s="182"/>
      <c r="E43" s="183"/>
      <c r="F43" s="4"/>
      <c r="G43" s="4"/>
      <c r="H43" s="4"/>
      <c r="I43" s="114" t="s">
        <v>104</v>
      </c>
      <c r="J43" s="48" t="s">
        <v>30</v>
      </c>
      <c r="K43" s="48" t="s">
        <v>27</v>
      </c>
      <c r="L43" s="47">
        <v>1</v>
      </c>
      <c r="M43" s="48" t="s">
        <v>26</v>
      </c>
      <c r="N43" s="48" t="s">
        <v>27</v>
      </c>
      <c r="O43" s="48" t="s">
        <v>28</v>
      </c>
      <c r="P43" s="117">
        <v>520000</v>
      </c>
      <c r="Q43" s="70">
        <f>P43*L43*I43</f>
        <v>1560000</v>
      </c>
      <c r="R43" s="70"/>
      <c r="S43" s="49">
        <f t="shared" si="11"/>
        <v>1560000</v>
      </c>
    </row>
    <row r="44" spans="1:20" s="73" customFormat="1" ht="13.8">
      <c r="A44" s="66"/>
      <c r="B44" s="147"/>
      <c r="C44" s="145"/>
      <c r="D44" s="182"/>
      <c r="E44" s="183"/>
      <c r="F44" s="4"/>
      <c r="G44" s="4"/>
      <c r="H44" s="4"/>
      <c r="I44" s="114"/>
      <c r="J44" s="48"/>
      <c r="K44" s="48"/>
      <c r="L44" s="47"/>
      <c r="M44" s="48"/>
      <c r="N44" s="48"/>
      <c r="O44" s="48"/>
      <c r="P44" s="407"/>
      <c r="Q44" s="70"/>
      <c r="R44" s="70"/>
      <c r="S44" s="49"/>
    </row>
    <row r="45" spans="1:20" s="5" customFormat="1" ht="13.8">
      <c r="A45" s="6"/>
      <c r="B45" s="148" t="s">
        <v>29</v>
      </c>
      <c r="C45" s="140"/>
      <c r="D45" s="182"/>
      <c r="E45" s="182"/>
      <c r="F45" s="4"/>
      <c r="G45" s="52"/>
      <c r="H45" s="52"/>
      <c r="I45" s="47"/>
      <c r="J45" s="48"/>
      <c r="K45" s="64"/>
      <c r="L45" s="47"/>
      <c r="M45" s="48"/>
      <c r="N45" s="64"/>
      <c r="O45" s="48"/>
      <c r="P45" s="47"/>
      <c r="Q45" s="9"/>
      <c r="R45" s="70">
        <f t="shared" ref="R45:R46" si="12">P45*L45*I45</f>
        <v>0</v>
      </c>
      <c r="S45" s="49"/>
    </row>
    <row r="46" spans="1:20" ht="13.8">
      <c r="A46" s="54"/>
      <c r="B46" s="101" t="s">
        <v>159</v>
      </c>
      <c r="C46" s="141"/>
      <c r="D46" s="182"/>
      <c r="E46" s="182"/>
      <c r="F46" s="4"/>
      <c r="G46" s="52"/>
      <c r="H46" s="52"/>
      <c r="I46" s="114" t="s">
        <v>100</v>
      </c>
      <c r="J46" s="48" t="s">
        <v>47</v>
      </c>
      <c r="K46" s="48" t="s">
        <v>27</v>
      </c>
      <c r="L46" s="47">
        <v>1</v>
      </c>
      <c r="M46" s="48" t="s">
        <v>26</v>
      </c>
      <c r="N46" s="48" t="s">
        <v>27</v>
      </c>
      <c r="O46" s="48" t="s">
        <v>28</v>
      </c>
      <c r="P46" s="117">
        <v>50000</v>
      </c>
      <c r="Q46" s="63"/>
      <c r="R46" s="70">
        <f t="shared" si="12"/>
        <v>100000</v>
      </c>
      <c r="S46" s="49">
        <f t="shared" si="11"/>
        <v>100000</v>
      </c>
    </row>
    <row r="47" spans="1:20">
      <c r="A47" s="54"/>
      <c r="B47" s="10"/>
      <c r="C47" s="10"/>
      <c r="D47" s="283"/>
      <c r="E47" s="185"/>
      <c r="F47" s="77"/>
      <c r="G47" s="77"/>
      <c r="H47" s="11"/>
      <c r="I47" s="77"/>
      <c r="J47" s="11"/>
      <c r="K47" s="11"/>
      <c r="L47" s="77"/>
      <c r="M47" s="11"/>
      <c r="N47" s="11"/>
      <c r="O47" s="11"/>
      <c r="P47" s="77"/>
      <c r="Q47" s="63"/>
      <c r="R47" s="63"/>
      <c r="S47" s="49">
        <f t="shared" si="11"/>
        <v>0</v>
      </c>
    </row>
    <row r="48" spans="1:20" s="87" customFormat="1" ht="13.8" thickBot="1">
      <c r="A48" s="84"/>
      <c r="B48" s="484" t="s">
        <v>33</v>
      </c>
      <c r="C48" s="485"/>
      <c r="D48" s="485"/>
      <c r="E48" s="485"/>
      <c r="F48" s="485"/>
      <c r="G48" s="485"/>
      <c r="H48" s="485"/>
      <c r="I48" s="485"/>
      <c r="J48" s="485"/>
      <c r="K48" s="485"/>
      <c r="L48" s="485"/>
      <c r="M48" s="485"/>
      <c r="N48" s="485"/>
      <c r="O48" s="485"/>
      <c r="P48" s="504"/>
      <c r="Q48" s="85">
        <f>SUM(Q19:Q47)</f>
        <v>465980000</v>
      </c>
      <c r="R48" s="85">
        <f>SUM(R19:R47)</f>
        <v>100000</v>
      </c>
      <c r="S48" s="85">
        <f>SUM(S19:S47)</f>
        <v>466080000</v>
      </c>
      <c r="T48" s="87">
        <f>329975000-S48</f>
        <v>-136105000</v>
      </c>
    </row>
    <row r="49" spans="1:20" ht="13.8" thickTop="1">
      <c r="A49" s="88"/>
      <c r="S49" s="192"/>
    </row>
    <row r="50" spans="1:20" s="15" customFormat="1" ht="13.8">
      <c r="B50" s="12"/>
      <c r="D50" s="202"/>
      <c r="E50" s="202"/>
      <c r="F50" s="90"/>
      <c r="G50" s="90"/>
      <c r="I50" s="90"/>
      <c r="J50" s="90"/>
      <c r="L50" s="90"/>
      <c r="M50" s="90"/>
      <c r="N50" s="90"/>
      <c r="P50" s="20"/>
      <c r="Q50" s="20" t="s">
        <v>635</v>
      </c>
      <c r="T50" s="15">
        <v>466080000</v>
      </c>
    </row>
    <row r="51" spans="1:20" s="15" customFormat="1" ht="13.8">
      <c r="B51" s="12"/>
      <c r="D51" s="202"/>
      <c r="E51" s="202"/>
      <c r="F51" s="90"/>
      <c r="G51" s="90"/>
      <c r="I51" s="90"/>
      <c r="J51" s="90"/>
      <c r="L51" s="90"/>
      <c r="M51" s="90"/>
      <c r="N51" s="90"/>
      <c r="P51" s="20"/>
      <c r="Q51" s="20" t="s">
        <v>176</v>
      </c>
      <c r="T51" s="15">
        <f>S48-T50</f>
        <v>0</v>
      </c>
    </row>
    <row r="52" spans="1:20" s="15" customFormat="1" ht="13.8">
      <c r="B52" s="12"/>
      <c r="D52" s="202"/>
      <c r="E52" s="202"/>
      <c r="F52" s="90"/>
      <c r="G52" s="90"/>
      <c r="I52" s="90"/>
      <c r="J52" s="90"/>
      <c r="L52" s="90"/>
      <c r="M52" s="90"/>
      <c r="N52" s="90"/>
      <c r="P52" s="20"/>
      <c r="Q52" s="20" t="s">
        <v>177</v>
      </c>
    </row>
    <row r="53" spans="1:20" s="15" customFormat="1" ht="13.8">
      <c r="B53" s="12"/>
      <c r="D53" s="202"/>
      <c r="E53" s="202"/>
      <c r="F53" s="90"/>
      <c r="G53" s="90"/>
      <c r="I53" s="90"/>
      <c r="J53" s="90"/>
      <c r="L53" s="90"/>
      <c r="M53" s="90"/>
      <c r="N53" s="90"/>
      <c r="P53" s="20"/>
      <c r="Q53" s="20"/>
    </row>
    <row r="54" spans="1:20" s="15" customFormat="1" ht="13.8">
      <c r="B54" s="12"/>
      <c r="D54" s="202"/>
      <c r="E54" s="202"/>
      <c r="F54" s="90"/>
      <c r="G54" s="90"/>
      <c r="I54" s="90"/>
      <c r="J54" s="90"/>
      <c r="L54" s="90"/>
      <c r="M54" s="90"/>
      <c r="N54" s="90"/>
      <c r="P54" s="20"/>
      <c r="Q54" s="20"/>
    </row>
    <row r="55" spans="1:20" s="15" customFormat="1" ht="13.8">
      <c r="B55" s="12"/>
      <c r="D55" s="202"/>
      <c r="E55" s="202"/>
      <c r="F55" s="90"/>
      <c r="G55" s="90"/>
      <c r="I55" s="90"/>
      <c r="J55" s="90"/>
      <c r="L55" s="90"/>
      <c r="M55" s="90"/>
      <c r="N55" s="90"/>
      <c r="P55" s="20"/>
      <c r="Q55" s="20"/>
    </row>
    <row r="56" spans="1:20" s="15" customFormat="1" ht="13.8">
      <c r="B56" s="12"/>
      <c r="D56" s="202"/>
      <c r="E56" s="202"/>
      <c r="F56" s="90"/>
      <c r="G56" s="90"/>
      <c r="I56" s="90"/>
      <c r="J56" s="90"/>
      <c r="L56" s="90"/>
      <c r="M56" s="90"/>
      <c r="N56" s="90"/>
      <c r="P56" s="20"/>
      <c r="Q56" s="20" t="s">
        <v>187</v>
      </c>
    </row>
    <row r="57" spans="1:20">
      <c r="A57" s="88"/>
      <c r="Q57" s="20" t="s">
        <v>174</v>
      </c>
      <c r="R57" s="29"/>
      <c r="S57" s="29"/>
    </row>
    <row r="58" spans="1:20" s="15" customFormat="1" ht="13.8">
      <c r="B58" s="12"/>
      <c r="D58" s="202"/>
      <c r="E58" s="202"/>
      <c r="F58" s="90"/>
      <c r="G58" s="90"/>
      <c r="I58" s="90"/>
      <c r="J58" s="90"/>
      <c r="L58" s="90"/>
      <c r="M58" s="90"/>
      <c r="N58" s="90"/>
      <c r="P58" s="20"/>
      <c r="Q58" s="20"/>
      <c r="R58" s="20"/>
      <c r="S58" s="14"/>
    </row>
    <row r="59" spans="1:20" s="15" customFormat="1" ht="13.8">
      <c r="B59" s="12"/>
      <c r="D59" s="202"/>
      <c r="E59" s="202"/>
      <c r="F59" s="90"/>
      <c r="G59" s="90"/>
      <c r="I59" s="90"/>
      <c r="J59" s="90"/>
      <c r="L59" s="90"/>
      <c r="M59" s="90"/>
      <c r="N59" s="90"/>
      <c r="P59" s="20"/>
      <c r="Q59" s="20"/>
      <c r="R59" s="20"/>
    </row>
    <row r="60" spans="1:20" s="15" customFormat="1" ht="13.8">
      <c r="B60" s="12"/>
      <c r="D60" s="202"/>
      <c r="E60" s="202"/>
      <c r="F60" s="90"/>
      <c r="G60" s="90"/>
      <c r="I60" s="90"/>
      <c r="J60" s="90"/>
      <c r="L60" s="90"/>
      <c r="M60" s="90"/>
      <c r="N60" s="90"/>
      <c r="P60" s="20"/>
      <c r="Q60" s="20"/>
      <c r="R60" s="20"/>
    </row>
    <row r="61" spans="1:20" s="15" customFormat="1" ht="13.8">
      <c r="B61" s="12"/>
      <c r="D61" s="202"/>
      <c r="E61" s="202"/>
      <c r="F61" s="90"/>
      <c r="G61" s="90"/>
      <c r="I61" s="90"/>
      <c r="J61" s="90"/>
      <c r="L61" s="90"/>
      <c r="M61" s="90"/>
      <c r="N61" s="90"/>
      <c r="P61" s="20"/>
      <c r="Q61" s="20"/>
      <c r="R61" s="20"/>
    </row>
    <row r="62" spans="1:20" s="15" customFormat="1" ht="13.8">
      <c r="B62" s="12"/>
      <c r="D62" s="202"/>
      <c r="E62" s="202"/>
      <c r="F62" s="90"/>
      <c r="G62" s="90"/>
      <c r="I62" s="90"/>
      <c r="J62" s="90"/>
      <c r="L62" s="90"/>
      <c r="M62" s="90"/>
      <c r="N62" s="90"/>
      <c r="P62" s="20" t="e">
        <f>P22+#REF!</f>
        <v>#REF!</v>
      </c>
      <c r="Q62" s="20"/>
      <c r="R62" s="20"/>
    </row>
    <row r="63" spans="1:20" s="15" customFormat="1" ht="13.8">
      <c r="B63" s="12"/>
      <c r="D63" s="202"/>
      <c r="E63" s="202"/>
      <c r="F63" s="90"/>
      <c r="G63" s="90"/>
      <c r="I63" s="90"/>
      <c r="J63" s="90"/>
      <c r="L63" s="90"/>
      <c r="M63" s="90"/>
      <c r="N63" s="90"/>
      <c r="P63" s="20"/>
      <c r="Q63" s="20"/>
      <c r="R63" s="20"/>
    </row>
    <row r="64" spans="1:20" s="15" customFormat="1" ht="13.8">
      <c r="B64" s="12"/>
      <c r="D64" s="202"/>
      <c r="E64" s="202"/>
      <c r="F64" s="90"/>
      <c r="G64" s="90"/>
      <c r="I64" s="90"/>
      <c r="J64" s="90"/>
      <c r="L64" s="90"/>
      <c r="M64" s="90"/>
      <c r="N64" s="90"/>
      <c r="P64" s="20"/>
      <c r="Q64" s="20"/>
      <c r="R64" s="20"/>
    </row>
    <row r="65" spans="2:19" s="15" customFormat="1" ht="13.8">
      <c r="B65" s="12"/>
      <c r="D65" s="202"/>
      <c r="E65" s="202"/>
      <c r="F65" s="90"/>
      <c r="G65" s="90"/>
      <c r="I65" s="90"/>
      <c r="J65" s="90"/>
      <c r="L65" s="90"/>
      <c r="M65" s="90"/>
      <c r="N65" s="90"/>
      <c r="P65" s="20"/>
      <c r="Q65" s="20"/>
      <c r="R65" s="20"/>
    </row>
    <row r="66" spans="2:19" s="15" customFormat="1">
      <c r="D66" s="202"/>
      <c r="E66" s="202"/>
      <c r="G66" s="90"/>
      <c r="H66" s="90"/>
      <c r="J66" s="90"/>
      <c r="K66" s="90"/>
      <c r="M66" s="90"/>
      <c r="N66" s="90"/>
      <c r="O66" s="90"/>
      <c r="Q66" s="20"/>
      <c r="R66" s="20"/>
      <c r="S66" s="20"/>
    </row>
  </sheetData>
  <mergeCells count="10">
    <mergeCell ref="B17:P17"/>
    <mergeCell ref="B48:P48"/>
    <mergeCell ref="A1:S1"/>
    <mergeCell ref="E12:H12"/>
    <mergeCell ref="A14:A16"/>
    <mergeCell ref="B14:P14"/>
    <mergeCell ref="Q14:R14"/>
    <mergeCell ref="S14:S16"/>
    <mergeCell ref="B15:P15"/>
    <mergeCell ref="B16:P16"/>
  </mergeCells>
  <printOptions horizontalCentered="1"/>
  <pageMargins left="0.45" right="0.45" top="1" bottom="0.75" header="0.3" footer="0.3"/>
  <pageSetup paperSize="9" scale="78" fitToHeight="2" orientation="landscape" horizontalDpi="4294967293" verticalDpi="4294967293" r:id="rId1"/>
  <rowBreaks count="1" manualBreakCount="1">
    <brk id="40" max="18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F3" sqref="F3"/>
    </sheetView>
  </sheetViews>
  <sheetFormatPr defaultRowHeight="14.4"/>
  <cols>
    <col min="1" max="1" width="16.5546875" bestFit="1" customWidth="1"/>
    <col min="2" max="2" width="21" customWidth="1"/>
    <col min="4" max="4" width="13.33203125" bestFit="1" customWidth="1"/>
    <col min="6" max="6" width="25.109375" customWidth="1"/>
  </cols>
  <sheetData>
    <row r="1" spans="1:4">
      <c r="A1" s="209">
        <v>9500000000</v>
      </c>
      <c r="B1" s="210">
        <f>A1-A2</f>
        <v>329207000</v>
      </c>
      <c r="D1" s="297"/>
    </row>
    <row r="2" spans="1:4">
      <c r="A2" s="208">
        <f>Dilestarikan!E12+Inventarisasi!E12+Naskah!E12+Internalisasi!E12+Dokumentasi!E12+Perkantoran!E12+Pengolah_data!E12+Peralatan!E12</f>
        <v>9170793000</v>
      </c>
      <c r="B2" s="211">
        <f>A1-A7</f>
        <v>9177000000</v>
      </c>
      <c r="D2" s="298">
        <f>B1/12</f>
        <v>27433916.666666668</v>
      </c>
    </row>
    <row r="3" spans="1:4">
      <c r="D3" s="211"/>
    </row>
    <row r="4" spans="1:4">
      <c r="A4" s="474">
        <f>A1*3%</f>
        <v>285000000</v>
      </c>
      <c r="B4" s="297">
        <f>B1/2</f>
        <v>164603500</v>
      </c>
    </row>
    <row r="5" spans="1:4">
      <c r="A5" s="208">
        <f>A4-B1</f>
        <v>-44207000</v>
      </c>
      <c r="D5" s="297">
        <f>B1/4</f>
        <v>82301750</v>
      </c>
    </row>
    <row r="6" spans="1:4">
      <c r="A6" s="475"/>
    </row>
    <row r="7" spans="1:4">
      <c r="A7" s="476">
        <f>A1*3.4%</f>
        <v>323000000</v>
      </c>
    </row>
    <row r="8" spans="1:4">
      <c r="A8" s="298"/>
      <c r="B8" s="211">
        <f>Peralatan!P29</f>
        <v>67415000</v>
      </c>
      <c r="D8" s="298">
        <f>7700000-D5</f>
        <v>-74601750</v>
      </c>
    </row>
    <row r="9" spans="1:4">
      <c r="B9" s="211">
        <f>B8+B1</f>
        <v>396622000</v>
      </c>
    </row>
    <row r="10" spans="1:4">
      <c r="B10" s="211"/>
      <c r="D10" s="297">
        <f>7706250+9500</f>
        <v>7715750</v>
      </c>
    </row>
    <row r="11" spans="1:4">
      <c r="D11" s="297"/>
    </row>
    <row r="13" spans="1:4">
      <c r="D13" s="298">
        <f>7700000+D5</f>
        <v>90001750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Dilestarikan</vt:lpstr>
      <vt:lpstr>Inventarisasi</vt:lpstr>
      <vt:lpstr>Naskah</vt:lpstr>
      <vt:lpstr>Internalisasi</vt:lpstr>
      <vt:lpstr>Dokumentasi</vt:lpstr>
      <vt:lpstr>Perkantoran</vt:lpstr>
      <vt:lpstr>Pengolah_data</vt:lpstr>
      <vt:lpstr>Peralatan</vt:lpstr>
      <vt:lpstr>Sheet1</vt:lpstr>
      <vt:lpstr>Dilestarikan!Print_Area</vt:lpstr>
      <vt:lpstr>Dokumentasi!Print_Area</vt:lpstr>
      <vt:lpstr>Internalisasi!Print_Area</vt:lpstr>
      <vt:lpstr>Inventarisasi!Print_Area</vt:lpstr>
      <vt:lpstr>Naskah!Print_Area</vt:lpstr>
      <vt:lpstr>Pengolah_data!Print_Area</vt:lpstr>
      <vt:lpstr>Peralatan!Print_Area</vt:lpstr>
      <vt:lpstr>Perkantoran!Print_Area</vt:lpstr>
      <vt:lpstr>Dilestarikan!Print_Titles</vt:lpstr>
      <vt:lpstr>Dokumentasi!Print_Titles</vt:lpstr>
      <vt:lpstr>Internalisasi!Print_Titles</vt:lpstr>
      <vt:lpstr>Inventarisasi!Print_Titles</vt:lpstr>
      <vt:lpstr>Naskah!Print_Titles</vt:lpstr>
      <vt:lpstr>Pengolah_data!Print_Titles</vt:lpstr>
      <vt:lpstr>Peralatan!Print_Titles</vt:lpstr>
      <vt:lpstr>Perkantoran!Print_Titles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private</dc:creator>
  <cp:lastModifiedBy>private</cp:lastModifiedBy>
  <cp:lastPrinted>2013-11-04T00:57:31Z</cp:lastPrinted>
  <dcterms:created xsi:type="dcterms:W3CDTF">2012-05-15T02:32:32Z</dcterms:created>
  <dcterms:modified xsi:type="dcterms:W3CDTF">2013-11-05T13:10:30Z</dcterms:modified>
</cp:coreProperties>
</file>