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ckland/Documents/Research/Elephant_Butte/Paper drafts/Submission-Items/Data_Repo/EBRD/Field_Data/"/>
    </mc:Choice>
  </mc:AlternateContent>
  <xr:revisionPtr revIDLastSave="0" documentId="13_ncr:1_{317C88CC-ABE2-5C42-B5F3-A142D4AC0071}" xr6:coauthVersionLast="47" xr6:coauthVersionMax="47" xr10:uidLastSave="{00000000-0000-0000-0000-000000000000}"/>
  <bookViews>
    <workbookView xWindow="0" yWindow="500" windowWidth="33600" windowHeight="19180" activeTab="2" xr2:uid="{F2D41CA8-D4C0-B74B-A912-96C2A5C163D1}"/>
  </bookViews>
  <sheets>
    <sheet name="Decadal" sheetId="1" r:id="rId1"/>
    <sheet name="Annual" sheetId="2" r:id="rId2"/>
    <sheet name="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6" i="2" l="1"/>
  <c r="AJ25" i="2"/>
  <c r="AI26" i="2"/>
  <c r="AI25" i="2"/>
  <c r="AH26" i="2"/>
  <c r="AH25" i="2"/>
  <c r="AJ23" i="2"/>
  <c r="AJ22" i="2"/>
  <c r="AI23" i="2"/>
  <c r="AI22" i="2"/>
  <c r="AH23" i="2"/>
  <c r="AH22" i="2"/>
  <c r="AJ20" i="2"/>
  <c r="AI20" i="2"/>
  <c r="AH20" i="2"/>
  <c r="AJ19" i="2"/>
  <c r="AI19" i="2"/>
  <c r="AH19" i="2"/>
  <c r="AC4" i="2"/>
  <c r="S5" i="1"/>
  <c r="S6" i="1"/>
  <c r="S7" i="1"/>
  <c r="S8" i="1"/>
  <c r="S9" i="1"/>
  <c r="S4" i="1"/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8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4" i="2"/>
  <c r="S8" i="2"/>
  <c r="S11" i="2"/>
  <c r="S12" i="2"/>
  <c r="S15" i="2"/>
  <c r="S16" i="2"/>
  <c r="S17" i="2"/>
  <c r="S18" i="2"/>
  <c r="P5" i="2"/>
  <c r="S5" i="2" s="1"/>
  <c r="P6" i="2"/>
  <c r="S6" i="2" s="1"/>
  <c r="P7" i="2"/>
  <c r="S7" i="2" s="1"/>
  <c r="P8" i="2"/>
  <c r="P9" i="2"/>
  <c r="S9" i="2" s="1"/>
  <c r="P10" i="2"/>
  <c r="S10" i="2" s="1"/>
  <c r="P11" i="2"/>
  <c r="P12" i="2"/>
  <c r="P13" i="2"/>
  <c r="S13" i="2" s="1"/>
  <c r="P14" i="2"/>
  <c r="S14" i="2" s="1"/>
  <c r="P15" i="2"/>
  <c r="P16" i="2"/>
  <c r="P17" i="2"/>
  <c r="P18" i="2"/>
  <c r="P4" i="2"/>
  <c r="S4" i="2" s="1"/>
  <c r="K6" i="2"/>
  <c r="K8" i="2"/>
  <c r="K10" i="2"/>
  <c r="K13" i="2"/>
  <c r="K14" i="2"/>
  <c r="K15" i="2"/>
  <c r="K16" i="2"/>
  <c r="K18" i="2"/>
  <c r="G5" i="2"/>
  <c r="K5" i="2" s="1"/>
  <c r="G6" i="2"/>
  <c r="G7" i="2"/>
  <c r="K7" i="2" s="1"/>
  <c r="G8" i="2"/>
  <c r="G9" i="2"/>
  <c r="K9" i="2" s="1"/>
  <c r="G10" i="2"/>
  <c r="G11" i="2"/>
  <c r="K11" i="2" s="1"/>
  <c r="G12" i="2"/>
  <c r="K12" i="2" s="1"/>
  <c r="G13" i="2"/>
  <c r="G14" i="2"/>
  <c r="G15" i="2"/>
  <c r="G16" i="2"/>
  <c r="G17" i="2"/>
  <c r="K17" i="2" s="1"/>
  <c r="G18" i="2"/>
  <c r="G4" i="2"/>
  <c r="K4" i="2" s="1"/>
  <c r="AE4" i="2"/>
  <c r="V4" i="2"/>
  <c r="W4" i="2" s="1"/>
  <c r="H4" i="2"/>
  <c r="I4" i="2" s="1"/>
  <c r="V5" i="2"/>
  <c r="W5" i="2" s="1"/>
  <c r="V6" i="2"/>
  <c r="W6" i="2" s="1"/>
  <c r="V7" i="2"/>
  <c r="W7" i="2" s="1"/>
  <c r="V8" i="2"/>
  <c r="W8" i="2" s="1"/>
  <c r="V9" i="2"/>
  <c r="W9" i="2" s="1"/>
  <c r="V10" i="2"/>
  <c r="W10" i="2" s="1"/>
  <c r="V11" i="2"/>
  <c r="W11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I15" i="2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H16" i="2"/>
  <c r="I16" i="2" s="1"/>
  <c r="H17" i="2"/>
  <c r="I17" i="2" s="1"/>
  <c r="H18" i="2"/>
  <c r="I18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4" i="2"/>
  <c r="AB4" i="2"/>
  <c r="AB5" i="2"/>
  <c r="AB6" i="2"/>
  <c r="N5" i="2"/>
  <c r="N6" i="2"/>
  <c r="N4" i="2"/>
  <c r="E5" i="2"/>
  <c r="E6" i="2"/>
  <c r="E4" i="2"/>
  <c r="E7" i="2"/>
  <c r="C5" i="2"/>
  <c r="C6" i="2"/>
  <c r="C4" i="2"/>
  <c r="C7" i="2"/>
  <c r="AC5" i="2"/>
  <c r="AE5" i="2" s="1"/>
  <c r="AF5" i="2" s="1"/>
  <c r="AC6" i="2"/>
  <c r="AE6" i="2" s="1"/>
  <c r="AF6" i="2" s="1"/>
  <c r="H4" i="1"/>
  <c r="AJ4" i="2" l="1"/>
  <c r="AI4" i="2"/>
  <c r="AG5" i="2"/>
  <c r="AH5" i="2" s="1"/>
  <c r="B9" i="3" s="1"/>
  <c r="AJ6" i="2"/>
  <c r="AI6" i="2"/>
  <c r="AI5" i="2"/>
  <c r="AJ5" i="2"/>
  <c r="AF4" i="2"/>
  <c r="AG4" i="2" s="1"/>
  <c r="AH4" i="2" s="1"/>
  <c r="AG6" i="2"/>
  <c r="AH6" i="2" s="1"/>
  <c r="B10" i="3" s="1"/>
  <c r="U6" i="1"/>
  <c r="AD4" i="1"/>
  <c r="U5" i="1"/>
  <c r="U7" i="1"/>
  <c r="U8" i="1"/>
  <c r="U9" i="1"/>
  <c r="U4" i="1"/>
  <c r="B10" i="1"/>
  <c r="C5" i="1"/>
  <c r="C6" i="1"/>
  <c r="C7" i="1"/>
  <c r="C8" i="1"/>
  <c r="C9" i="1"/>
  <c r="C4" i="1"/>
  <c r="L4" i="1"/>
  <c r="L5" i="1"/>
  <c r="L6" i="1"/>
  <c r="L7" i="1"/>
  <c r="L8" i="1"/>
  <c r="L9" i="1"/>
  <c r="F5" i="1"/>
  <c r="F6" i="1"/>
  <c r="F7" i="1"/>
  <c r="F8" i="1"/>
  <c r="F9" i="1"/>
  <c r="F4" i="1"/>
  <c r="P4" i="1"/>
  <c r="B8" i="3" l="1"/>
  <c r="C10" i="1"/>
  <c r="R4" i="1"/>
  <c r="E2" i="3" s="1"/>
  <c r="J4" i="1"/>
  <c r="C2" i="3" s="1"/>
  <c r="N6" i="1"/>
  <c r="D4" i="3" s="1"/>
  <c r="N7" i="1"/>
  <c r="D5" i="3" s="1"/>
  <c r="P5" i="1"/>
  <c r="R5" i="1" s="1"/>
  <c r="E3" i="3" s="1"/>
  <c r="P6" i="1"/>
  <c r="R6" i="1" s="1"/>
  <c r="E4" i="3" s="1"/>
  <c r="P7" i="1"/>
  <c r="R7" i="1" s="1"/>
  <c r="E5" i="3" s="1"/>
  <c r="P8" i="1"/>
  <c r="R8" i="1" s="1"/>
  <c r="E6" i="3" s="1"/>
  <c r="P9" i="1"/>
  <c r="R9" i="1" s="1"/>
  <c r="E7" i="3" s="1"/>
  <c r="N5" i="1"/>
  <c r="D3" i="3" s="1"/>
  <c r="N8" i="1"/>
  <c r="D6" i="3" s="1"/>
  <c r="N9" i="1"/>
  <c r="D7" i="3" s="1"/>
  <c r="N4" i="1"/>
  <c r="D2" i="3" s="1"/>
  <c r="H5" i="1"/>
  <c r="J5" i="1" s="1"/>
  <c r="C3" i="3" s="1"/>
  <c r="H6" i="1"/>
  <c r="J6" i="1" s="1"/>
  <c r="C4" i="3" s="1"/>
  <c r="H7" i="1"/>
  <c r="J7" i="1" s="1"/>
  <c r="C5" i="3" s="1"/>
  <c r="H8" i="1"/>
  <c r="J8" i="1" s="1"/>
  <c r="C6" i="3" s="1"/>
  <c r="H9" i="1"/>
  <c r="J9" i="1" s="1"/>
  <c r="C7" i="3" s="1"/>
  <c r="Z5" i="1"/>
  <c r="T5" i="1" s="1"/>
  <c r="Z6" i="1"/>
  <c r="T6" i="1" s="1"/>
  <c r="Z7" i="1"/>
  <c r="T7" i="1" s="1"/>
  <c r="Z8" i="1"/>
  <c r="T8" i="1" s="1"/>
  <c r="Z9" i="1"/>
  <c r="T9" i="1" s="1"/>
  <c r="Z4" i="1"/>
  <c r="AB8" i="2"/>
  <c r="AB9" i="2"/>
  <c r="AB10" i="2"/>
  <c r="AB11" i="2"/>
  <c r="AB12" i="2"/>
  <c r="AB13" i="2"/>
  <c r="AB14" i="2"/>
  <c r="AB15" i="2"/>
  <c r="AB16" i="2"/>
  <c r="AB17" i="2"/>
  <c r="AB18" i="2"/>
  <c r="AB7" i="2"/>
  <c r="N8" i="2"/>
  <c r="AI8" i="2" s="1"/>
  <c r="N9" i="2"/>
  <c r="AI9" i="2" s="1"/>
  <c r="N10" i="2"/>
  <c r="AI10" i="2" s="1"/>
  <c r="N11" i="2"/>
  <c r="AI11" i="2" s="1"/>
  <c r="N12" i="2"/>
  <c r="AI12" i="2" s="1"/>
  <c r="N13" i="2"/>
  <c r="AI13" i="2" s="1"/>
  <c r="N14" i="2"/>
  <c r="AI14" i="2" s="1"/>
  <c r="N15" i="2"/>
  <c r="AI15" i="2" s="1"/>
  <c r="N16" i="2"/>
  <c r="AI16" i="2" s="1"/>
  <c r="N17" i="2"/>
  <c r="AI17" i="2" s="1"/>
  <c r="N18" i="2"/>
  <c r="AI18" i="2" s="1"/>
  <c r="N7" i="2"/>
  <c r="AI7" i="2" s="1"/>
  <c r="E8" i="2"/>
  <c r="E9" i="2"/>
  <c r="E10" i="2"/>
  <c r="E11" i="2"/>
  <c r="E12" i="2"/>
  <c r="E13" i="2"/>
  <c r="E14" i="2"/>
  <c r="E15" i="2"/>
  <c r="E16" i="2"/>
  <c r="E17" i="2"/>
  <c r="E18" i="2"/>
  <c r="C8" i="2"/>
  <c r="C9" i="2"/>
  <c r="C10" i="2"/>
  <c r="C11" i="2"/>
  <c r="C12" i="2"/>
  <c r="C13" i="2"/>
  <c r="C14" i="2"/>
  <c r="C15" i="2"/>
  <c r="C16" i="2"/>
  <c r="C17" i="2"/>
  <c r="C18" i="2"/>
  <c r="T4" i="1" l="1"/>
  <c r="V4" i="1" s="1"/>
  <c r="W4" i="1" s="1"/>
  <c r="B2" i="3" s="1"/>
  <c r="AJ16" i="2"/>
  <c r="AJ14" i="2"/>
  <c r="AJ15" i="2"/>
  <c r="AJ13" i="2"/>
  <c r="AJ11" i="2"/>
  <c r="AJ9" i="2"/>
  <c r="AJ10" i="2"/>
  <c r="AJ17" i="2"/>
  <c r="AJ8" i="2"/>
  <c r="AJ12" i="2"/>
  <c r="AJ7" i="2"/>
  <c r="AJ18" i="2"/>
  <c r="AD8" i="2" l="1"/>
  <c r="AD9" i="2"/>
  <c r="AD10" i="2"/>
  <c r="AD11" i="2"/>
  <c r="AD12" i="2"/>
  <c r="AD13" i="2"/>
  <c r="AD14" i="2"/>
  <c r="AD15" i="2"/>
  <c r="AD16" i="2"/>
  <c r="AD17" i="2"/>
  <c r="AD18" i="2"/>
  <c r="AD7" i="2"/>
  <c r="AD5" i="1"/>
  <c r="AD6" i="1"/>
  <c r="AD7" i="1"/>
  <c r="AD8" i="1"/>
  <c r="AD9" i="1"/>
  <c r="AC8" i="2"/>
  <c r="AE8" i="2" s="1"/>
  <c r="AC9" i="2"/>
  <c r="AE9" i="2" s="1"/>
  <c r="AC10" i="2"/>
  <c r="AE10" i="2" s="1"/>
  <c r="AC11" i="2"/>
  <c r="AE11" i="2" s="1"/>
  <c r="AC12" i="2"/>
  <c r="AE12" i="2" s="1"/>
  <c r="AC13" i="2"/>
  <c r="AE13" i="2" s="1"/>
  <c r="AC14" i="2"/>
  <c r="AE14" i="2" s="1"/>
  <c r="AC15" i="2"/>
  <c r="AE15" i="2" s="1"/>
  <c r="AC16" i="2"/>
  <c r="AE16" i="2" s="1"/>
  <c r="AC17" i="2"/>
  <c r="AE17" i="2" s="1"/>
  <c r="AC18" i="2"/>
  <c r="AE18" i="2" s="1"/>
  <c r="AC7" i="2"/>
  <c r="AE7" i="2" s="1"/>
  <c r="AF7" i="2" s="1"/>
  <c r="AG7" i="2" s="1"/>
  <c r="V5" i="1"/>
  <c r="V6" i="1"/>
  <c r="V7" i="1"/>
  <c r="V8" i="1"/>
  <c r="V9" i="1"/>
  <c r="W6" i="1" l="1"/>
  <c r="B4" i="3" s="1"/>
  <c r="AF16" i="2"/>
  <c r="AG16" i="2" s="1"/>
  <c r="AH16" i="2" s="1"/>
  <c r="B20" i="3" s="1"/>
  <c r="AF14" i="2"/>
  <c r="AG14" i="2" s="1"/>
  <c r="AH14" i="2" s="1"/>
  <c r="B18" i="3" s="1"/>
  <c r="AF12" i="2"/>
  <c r="AG12" i="2" s="1"/>
  <c r="AH12" i="2" s="1"/>
  <c r="B16" i="3" s="1"/>
  <c r="AF8" i="2"/>
  <c r="AG8" i="2" s="1"/>
  <c r="AH8" i="2" s="1"/>
  <c r="AF17" i="2"/>
  <c r="AG17" i="2" s="1"/>
  <c r="AH17" i="2" s="1"/>
  <c r="B21" i="3" s="1"/>
  <c r="AF10" i="2"/>
  <c r="AG10" i="2" s="1"/>
  <c r="AH10" i="2" s="1"/>
  <c r="B14" i="3" s="1"/>
  <c r="AF9" i="2"/>
  <c r="AG9" i="2" s="1"/>
  <c r="AH9" i="2" s="1"/>
  <c r="B13" i="3" s="1"/>
  <c r="AF18" i="2"/>
  <c r="AG18" i="2" s="1"/>
  <c r="AH18" i="2" s="1"/>
  <c r="B22" i="3" s="1"/>
  <c r="AF15" i="2"/>
  <c r="AG15" i="2" s="1"/>
  <c r="AH15" i="2" s="1"/>
  <c r="B19" i="3" s="1"/>
  <c r="AF13" i="2"/>
  <c r="AG13" i="2" s="1"/>
  <c r="AH13" i="2" s="1"/>
  <c r="B17" i="3" s="1"/>
  <c r="AF11" i="2"/>
  <c r="AG11" i="2" s="1"/>
  <c r="AH11" i="2" s="1"/>
  <c r="B15" i="3" s="1"/>
  <c r="W9" i="1"/>
  <c r="B7" i="3" s="1"/>
  <c r="W8" i="1"/>
  <c r="B6" i="3" s="1"/>
  <c r="W7" i="1"/>
  <c r="B5" i="3" s="1"/>
  <c r="W5" i="1"/>
  <c r="B3" i="3" s="1"/>
  <c r="B12" i="3" l="1"/>
  <c r="W11" i="1"/>
  <c r="W10" i="1"/>
  <c r="AH7" i="2"/>
  <c r="B11" i="3" l="1"/>
</calcChain>
</file>

<file path=xl/sharedStrings.xml><?xml version="1.0" encoding="utf-8"?>
<sst xmlns="http://schemas.openxmlformats.org/spreadsheetml/2006/main" count="123" uniqueCount="97">
  <si>
    <t>Decade</t>
  </si>
  <si>
    <t>Average water level (m)</t>
  </si>
  <si>
    <t>Total incoming sediment load (kg)</t>
  </si>
  <si>
    <t>Total incoming sediment load (m^3)</t>
  </si>
  <si>
    <t>Reservoir area for avg water level (m^2)</t>
  </si>
  <si>
    <t>Notes</t>
  </si>
  <si>
    <t>Decadal average aggradation rate (m/10yrs)</t>
  </si>
  <si>
    <t>Decadal average aggradation rate (cm/yr)</t>
  </si>
  <si>
    <t>Total incoming sediment load - TE adjusted (m^3)</t>
  </si>
  <si>
    <t>Year</t>
  </si>
  <si>
    <t>Summer monsoon sediment load (kg)</t>
  </si>
  <si>
    <t>Winter sediment load (kg)</t>
  </si>
  <si>
    <t>Spring snowmelt sediment load (kg)</t>
  </si>
  <si>
    <t>Nan values?</t>
  </si>
  <si>
    <t>Number of non-nan values (SSD (t/d))</t>
  </si>
  <si>
    <t>Number of years of data</t>
  </si>
  <si>
    <t># winter days</t>
  </si>
  <si>
    <t>Days in year with real data (check)</t>
  </si>
  <si>
    <t>Average water level (ft)</t>
  </si>
  <si>
    <t>Reservoir area for avg water level (ac)</t>
  </si>
  <si>
    <t>Average aggradation rate (m/year)</t>
  </si>
  <si>
    <t>Average aggradation rate (cm/yr)</t>
  </si>
  <si>
    <t>Monsoon aggradation rate (cm/yr)</t>
  </si>
  <si>
    <t>Reservoir area for avg monsoon water level (ac)</t>
  </si>
  <si>
    <t>Summer monsoon average wl (ft)</t>
  </si>
  <si>
    <t>Spring snowmelt average water level (ft)</t>
  </si>
  <si>
    <t>Reservoir area for avg snowmelt water level (ac)</t>
  </si>
  <si>
    <t>Reservoir area for avg monsoon water level (m^2)</t>
  </si>
  <si>
    <t>Reservoir area for avg snowmelt water level (m^2)</t>
  </si>
  <si>
    <t>Summer monsoon sediment load (m^3) TE adjusted</t>
  </si>
  <si>
    <t>Spring snowmelt sediment load (m^3) TE adjusted</t>
  </si>
  <si>
    <t>Snowmelt aggradation rate (cm/yr)</t>
  </si>
  <si>
    <t>Sediment contributing drainage area (sq miles)</t>
  </si>
  <si>
    <t>Capacity (ac-ft)</t>
  </si>
  <si>
    <t xml:space="preserve">K = </t>
  </si>
  <si>
    <t>Average:</t>
  </si>
  <si>
    <t>Stdev:</t>
  </si>
  <si>
    <t>Total monsoon sediment load (kg)</t>
  </si>
  <si>
    <t>Total spring sediment load (kg)</t>
  </si>
  <si>
    <t>Total winter sediment load (kg)</t>
  </si>
  <si>
    <t>Monsoon days</t>
  </si>
  <si>
    <t>Spring days</t>
  </si>
  <si>
    <t>Winter days</t>
  </si>
  <si>
    <t>Total monsoon sediment load (mt)</t>
  </si>
  <si>
    <t>Total spring sediment load (mt)</t>
  </si>
  <si>
    <t>Total winter sediment load (mt)</t>
  </si>
  <si>
    <t>Average  monsoon daily sediment load (mt/d)</t>
  </si>
  <si>
    <t>Average spring daily sediment load (mt/d)</t>
  </si>
  <si>
    <t>Average winter daily sediment load (mt/d)</t>
  </si>
  <si>
    <t># summer monsoon days</t>
  </si>
  <si>
    <t># spring snowmelt days</t>
  </si>
  <si>
    <t>ACAP-TABLE</t>
  </si>
  <si>
    <t>1957-1966</t>
  </si>
  <si>
    <t>1967-1976</t>
  </si>
  <si>
    <t>1977-1986</t>
  </si>
  <si>
    <t>1987-1996</t>
  </si>
  <si>
    <t>1997-2006</t>
  </si>
  <si>
    <t>2007-2016</t>
  </si>
  <si>
    <t>Total incoming sediment load - CHECK ALL SEASONS ADD UP</t>
  </si>
  <si>
    <t>Average decadal aggradation rates: 1957-2016</t>
  </si>
  <si>
    <t>Reservoir area for average water level (acres)</t>
  </si>
  <si>
    <t>Used 1957 ACAP/Report</t>
  </si>
  <si>
    <t>Used 1980 ACAP/Report</t>
  </si>
  <si>
    <t>Used 1988 ACAP/Report</t>
  </si>
  <si>
    <t>Used 1999 ACAP/Report</t>
  </si>
  <si>
    <t>Used 2007 ACAP/Report</t>
  </si>
  <si>
    <t>Used 1969 ACAP/1980 report for contributing drainage area</t>
  </si>
  <si>
    <t>Average annual aggradation rates: 2007-2021</t>
  </si>
  <si>
    <t>Year or Decade</t>
  </si>
  <si>
    <t>Monsoon daiy sediment load (mt/d)</t>
  </si>
  <si>
    <t>Spring daily sediment load (mt/d)</t>
  </si>
  <si>
    <t>Winter daily sediment load (mt/d)</t>
  </si>
  <si>
    <t>Elephant butte trap efficiency: 0.88545709 (2007-2017)</t>
  </si>
  <si>
    <t xml:space="preserve">Average (all): </t>
  </si>
  <si>
    <t>Average (2007-2017):</t>
  </si>
  <si>
    <t xml:space="preserve">Stdev: </t>
  </si>
  <si>
    <t>Average (2011-2021)</t>
  </si>
  <si>
    <t>Winter sediment load (m^3)</t>
  </si>
  <si>
    <t>Summer monsoon sediment load (kg) TE adjusted</t>
  </si>
  <si>
    <t>Spring snowmelt sediment load (kg) TE adjusted</t>
  </si>
  <si>
    <t>Summer monsoon sediment load (mt)</t>
  </si>
  <si>
    <t>Average daily summer monsoon sediment load (mt/day)</t>
  </si>
  <si>
    <t>Winter sediment load (mt)</t>
  </si>
  <si>
    <t>Average winter daily sediment load (mt/day)</t>
  </si>
  <si>
    <t>Spring snowmelt sediment load (mt)</t>
  </si>
  <si>
    <t>Average spring snowmelt daily sediment load (mt/day)</t>
  </si>
  <si>
    <t>Dry bulk density conversion:</t>
  </si>
  <si>
    <t>kg/m3</t>
  </si>
  <si>
    <t>FROM ACAP TABLES</t>
  </si>
  <si>
    <t>Te (see Brown equation below)</t>
  </si>
  <si>
    <t>C = active capacity</t>
  </si>
  <si>
    <t>A = sediment-contributing drainage area</t>
  </si>
  <si>
    <t>K = factor accounting for grain size (see value above)</t>
  </si>
  <si>
    <t>FROM JUPYTER NOTEBOOK</t>
  </si>
  <si>
    <t>Updated 4/3/23</t>
  </si>
  <si>
    <t>CONVERT WITH DRY BULK DENSITY</t>
  </si>
  <si>
    <t>SEE TE TO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</si>
</sst>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Var(--jp-code-font-family)"/>
    </font>
    <font>
      <sz val="16"/>
      <color rgb="FFC00000"/>
      <name val="Calibri"/>
      <family val="2"/>
      <scheme val="minor"/>
    </font>
    <font>
      <sz val="16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rgb="FFA12A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6"/>
      <color theme="9"/>
      <name val="Calibri"/>
      <family val="2"/>
      <scheme val="minor"/>
    </font>
    <font>
      <b/>
      <sz val="16"/>
      <color rgb="FFB55734"/>
      <name val="Calibri"/>
      <family val="2"/>
      <scheme val="minor"/>
    </font>
    <font>
      <sz val="16"/>
      <color rgb="FFA12A00"/>
      <name val="Calibri"/>
      <family val="2"/>
      <scheme val="minor"/>
    </font>
    <font>
      <sz val="16"/>
      <color theme="9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4" fontId="0" fillId="0" borderId="0" xfId="0" applyNumberFormat="1"/>
    <xf numFmtId="0" fontId="3" fillId="0" borderId="0" xfId="0" applyFont="1"/>
    <xf numFmtId="46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2" fontId="2" fillId="0" borderId="4" xfId="0" applyNumberFormat="1" applyFont="1" applyBorder="1"/>
    <xf numFmtId="0" fontId="2" fillId="0" borderId="5" xfId="0" applyFont="1" applyBorder="1"/>
    <xf numFmtId="2" fontId="1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46" fontId="2" fillId="0" borderId="3" xfId="0" applyNumberFormat="1" applyFont="1" applyBorder="1"/>
    <xf numFmtId="2" fontId="2" fillId="0" borderId="5" xfId="0" applyNumberFormat="1" applyFont="1" applyBorder="1"/>
    <xf numFmtId="2" fontId="1" fillId="0" borderId="1" xfId="0" applyNumberFormat="1" applyFont="1" applyBorder="1"/>
    <xf numFmtId="0" fontId="2" fillId="0" borderId="2" xfId="0" applyFont="1" applyBorder="1" applyAlignment="1">
      <alignment wrapText="1"/>
    </xf>
    <xf numFmtId="2" fontId="2" fillId="0" borderId="2" xfId="0" applyNumberFormat="1" applyFont="1" applyBorder="1"/>
    <xf numFmtId="0" fontId="2" fillId="0" borderId="10" xfId="0" applyFont="1" applyBorder="1" applyAlignment="1">
      <alignment wrapText="1"/>
    </xf>
    <xf numFmtId="0" fontId="4" fillId="0" borderId="4" xfId="0" applyFont="1" applyBorder="1"/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2" fillId="0" borderId="9" xfId="0" applyFont="1" applyBorder="1"/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0" fillId="0" borderId="6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64" fontId="2" fillId="0" borderId="0" xfId="0" applyNumberFormat="1" applyFont="1"/>
    <xf numFmtId="0" fontId="0" fillId="0" borderId="2" xfId="0" applyBorder="1"/>
    <xf numFmtId="164" fontId="2" fillId="0" borderId="4" xfId="0" applyNumberFormat="1" applyFont="1" applyBorder="1"/>
    <xf numFmtId="0" fontId="0" fillId="0" borderId="4" xfId="0" applyBorder="1"/>
    <xf numFmtId="0" fontId="0" fillId="0" borderId="5" xfId="0" applyBorder="1"/>
    <xf numFmtId="3" fontId="2" fillId="0" borderId="0" xfId="0" applyNumberFormat="1" applyFont="1"/>
    <xf numFmtId="3" fontId="5" fillId="0" borderId="0" xfId="0" applyNumberFormat="1" applyFont="1"/>
    <xf numFmtId="3" fontId="2" fillId="0" borderId="4" xfId="0" applyNumberFormat="1" applyFont="1" applyBorder="1"/>
    <xf numFmtId="0" fontId="1" fillId="0" borderId="9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6" fillId="0" borderId="0" xfId="0" applyFont="1"/>
    <xf numFmtId="2" fontId="6" fillId="0" borderId="0" xfId="0" applyNumberFormat="1" applyFont="1"/>
    <xf numFmtId="0" fontId="2" fillId="0" borderId="6" xfId="0" applyFont="1" applyBorder="1" applyAlignment="1">
      <alignment horizontal="left" wrapText="1"/>
    </xf>
    <xf numFmtId="2" fontId="2" fillId="0" borderId="0" xfId="0" applyNumberFormat="1" applyFont="1" applyAlignment="1">
      <alignment wrapText="1"/>
    </xf>
    <xf numFmtId="0" fontId="2" fillId="0" borderId="4" xfId="0" applyFont="1" applyBorder="1" applyAlignment="1">
      <alignment wrapText="1"/>
    </xf>
    <xf numFmtId="2" fontId="2" fillId="0" borderId="2" xfId="0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/>
    <xf numFmtId="2" fontId="2" fillId="0" borderId="3" xfId="0" applyNumberFormat="1" applyFont="1" applyBorder="1" applyAlignment="1">
      <alignment wrapText="1"/>
    </xf>
    <xf numFmtId="165" fontId="1" fillId="0" borderId="11" xfId="0" applyNumberFormat="1" applyFont="1" applyBorder="1"/>
    <xf numFmtId="165" fontId="1" fillId="0" borderId="5" xfId="0" applyNumberFormat="1" applyFont="1" applyBorder="1"/>
    <xf numFmtId="165" fontId="1" fillId="0" borderId="2" xfId="0" applyNumberFormat="1" applyFont="1" applyBorder="1"/>
    <xf numFmtId="165" fontId="1" fillId="0" borderId="0" xfId="0" applyNumberFormat="1" applyFont="1"/>
    <xf numFmtId="165" fontId="7" fillId="0" borderId="0" xfId="0" applyNumberFormat="1" applyFont="1"/>
    <xf numFmtId="165" fontId="9" fillId="0" borderId="2" xfId="0" applyNumberFormat="1" applyFont="1" applyBorder="1"/>
    <xf numFmtId="165" fontId="2" fillId="0" borderId="4" xfId="0" applyNumberFormat="1" applyFont="1" applyBorder="1"/>
    <xf numFmtId="165" fontId="11" fillId="0" borderId="4" xfId="0" applyNumberFormat="1" applyFont="1" applyBorder="1"/>
    <xf numFmtId="165" fontId="12" fillId="0" borderId="5" xfId="0" applyNumberFormat="1" applyFont="1" applyBorder="1"/>
    <xf numFmtId="165" fontId="0" fillId="0" borderId="0" xfId="0" applyNumberFormat="1"/>
    <xf numFmtId="165" fontId="1" fillId="0" borderId="10" xfId="0" applyNumberFormat="1" applyFont="1" applyBorder="1"/>
    <xf numFmtId="165" fontId="7" fillId="0" borderId="10" xfId="0" applyNumberFormat="1" applyFont="1" applyBorder="1"/>
    <xf numFmtId="165" fontId="9" fillId="0" borderId="11" xfId="0" applyNumberFormat="1" applyFont="1" applyBorder="1"/>
    <xf numFmtId="165" fontId="1" fillId="0" borderId="4" xfId="0" applyNumberFormat="1" applyFont="1" applyBorder="1"/>
    <xf numFmtId="165" fontId="7" fillId="0" borderId="4" xfId="0" applyNumberFormat="1" applyFont="1" applyBorder="1"/>
    <xf numFmtId="165" fontId="9" fillId="0" borderId="5" xfId="0" applyNumberFormat="1" applyFont="1" applyBorder="1"/>
    <xf numFmtId="0" fontId="2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2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2" fontId="1" fillId="0" borderId="4" xfId="0" applyNumberFormat="1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9B"/>
      <color rgb="FF802103"/>
      <color rgb="FFA12A00"/>
      <color rgb="FFB55734"/>
      <color rgb="FF70A3E4"/>
      <color rgb="FF002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546025112385"/>
          <c:y val="0.11989739031258555"/>
          <c:w val="0.26887476923256831"/>
          <c:h val="0.55411528026290735"/>
        </c:manualLayout>
      </c:layout>
      <c:barChart>
        <c:barDir val="col"/>
        <c:grouping val="stacked"/>
        <c:varyColors val="0"/>
        <c:ser>
          <c:idx val="0"/>
          <c:order val="3"/>
          <c:tx>
            <c:v>Agg. rate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Plot!$A$2:$A$7</c:f>
              <c:strCache>
                <c:ptCount val="6"/>
                <c:pt idx="0">
                  <c:v>1957-1966</c:v>
                </c:pt>
                <c:pt idx="1">
                  <c:v>1967-1976</c:v>
                </c:pt>
                <c:pt idx="2">
                  <c:v>1977-1986</c:v>
                </c:pt>
                <c:pt idx="3">
                  <c:v>1987-1996</c:v>
                </c:pt>
                <c:pt idx="4">
                  <c:v>1997-2006</c:v>
                </c:pt>
                <c:pt idx="5">
                  <c:v>2007-2016</c:v>
                </c:pt>
              </c:strCache>
            </c:strRef>
          </c:cat>
          <c:val>
            <c:numRef>
              <c:f>Plot!$B$2:$B$7</c:f>
              <c:numCache>
                <c:formatCode>0.00</c:formatCode>
                <c:ptCount val="6"/>
                <c:pt idx="0">
                  <c:v>6.5075625470073426</c:v>
                </c:pt>
                <c:pt idx="1">
                  <c:v>5.8636198727054323</c:v>
                </c:pt>
                <c:pt idx="2">
                  <c:v>3.8156516591408334</c:v>
                </c:pt>
                <c:pt idx="3">
                  <c:v>1.6397966199624512</c:v>
                </c:pt>
                <c:pt idx="4">
                  <c:v>3.1426700123415734</c:v>
                </c:pt>
                <c:pt idx="5">
                  <c:v>3.0535096963836428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8-324D-A522-A054B5DD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5693664"/>
        <c:axId val="1155695392"/>
      </c:barChart>
      <c:barChart>
        <c:barDir val="col"/>
        <c:grouping val="stacked"/>
        <c:varyColors val="0"/>
        <c:ser>
          <c:idx val="1"/>
          <c:order val="0"/>
          <c:tx>
            <c:v>Summer monsoon</c:v>
          </c:tx>
          <c:spPr>
            <a:solidFill>
              <a:srgbClr val="B55734"/>
            </a:solidFill>
            <a:ln>
              <a:solidFill>
                <a:srgbClr val="802103"/>
              </a:solidFill>
            </a:ln>
            <a:effectLst/>
          </c:spPr>
          <c:invertIfNegative val="0"/>
          <c:cat>
            <c:strRef>
              <c:f>Plot!$A$2:$A$7</c:f>
              <c:strCache>
                <c:ptCount val="6"/>
                <c:pt idx="0">
                  <c:v>1957-1966</c:v>
                </c:pt>
                <c:pt idx="1">
                  <c:v>1967-1976</c:v>
                </c:pt>
                <c:pt idx="2">
                  <c:v>1977-1986</c:v>
                </c:pt>
                <c:pt idx="3">
                  <c:v>1987-1996</c:v>
                </c:pt>
                <c:pt idx="4">
                  <c:v>1997-2006</c:v>
                </c:pt>
                <c:pt idx="5">
                  <c:v>2007-2016</c:v>
                </c:pt>
              </c:strCache>
            </c:strRef>
          </c:cat>
          <c:val>
            <c:numRef>
              <c:f>Plot!$C$2:$C$7</c:f>
              <c:numCache>
                <c:formatCode>General</c:formatCode>
                <c:ptCount val="6"/>
                <c:pt idx="0">
                  <c:v>17219.562326752337</c:v>
                </c:pt>
                <c:pt idx="1">
                  <c:v>16998.666632717392</c:v>
                </c:pt>
                <c:pt idx="2">
                  <c:v>17939.552573804347</c:v>
                </c:pt>
                <c:pt idx="3">
                  <c:v>11886.757860326086</c:v>
                </c:pt>
                <c:pt idx="4">
                  <c:v>14147.150652826087</c:v>
                </c:pt>
                <c:pt idx="5">
                  <c:v>9380.6352085760864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8-324D-A522-A054B5DD326B}"/>
            </c:ext>
          </c:extLst>
        </c:ser>
        <c:ser>
          <c:idx val="2"/>
          <c:order val="1"/>
          <c:tx>
            <c:v>Spring snowmelt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strRef>
              <c:f>Plot!$A$2:$A$7</c:f>
              <c:strCache>
                <c:ptCount val="6"/>
                <c:pt idx="0">
                  <c:v>1957-1966</c:v>
                </c:pt>
                <c:pt idx="1">
                  <c:v>1967-1976</c:v>
                </c:pt>
                <c:pt idx="2">
                  <c:v>1977-1986</c:v>
                </c:pt>
                <c:pt idx="3">
                  <c:v>1987-1996</c:v>
                </c:pt>
                <c:pt idx="4">
                  <c:v>1997-2006</c:v>
                </c:pt>
                <c:pt idx="5">
                  <c:v>2007-2016</c:v>
                </c:pt>
              </c:strCache>
            </c:strRef>
          </c:cat>
          <c:val>
            <c:numRef>
              <c:f>Plot!$D$2:$D$7</c:f>
              <c:numCache>
                <c:formatCode>General</c:formatCode>
                <c:ptCount val="6"/>
                <c:pt idx="0">
                  <c:v>20442.733614399094</c:v>
                </c:pt>
                <c:pt idx="1">
                  <c:v>13999.482485604394</c:v>
                </c:pt>
                <c:pt idx="2">
                  <c:v>16242.98865956044</c:v>
                </c:pt>
                <c:pt idx="3">
                  <c:v>11628.996931538462</c:v>
                </c:pt>
                <c:pt idx="4">
                  <c:v>7543.4861191318678</c:v>
                </c:pt>
                <c:pt idx="5">
                  <c:v>3601.5988942747254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E8-324D-A522-A054B5DD326B}"/>
            </c:ext>
          </c:extLst>
        </c:ser>
        <c:ser>
          <c:idx val="3"/>
          <c:order val="2"/>
          <c:tx>
            <c:v>Winter low flow</c:v>
          </c:tx>
          <c:spPr>
            <a:solidFill>
              <a:srgbClr val="00339B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strRef>
              <c:f>Plot!$A$2:$A$7</c:f>
              <c:strCache>
                <c:ptCount val="6"/>
                <c:pt idx="0">
                  <c:v>1957-1966</c:v>
                </c:pt>
                <c:pt idx="1">
                  <c:v>1967-1976</c:v>
                </c:pt>
                <c:pt idx="2">
                  <c:v>1977-1986</c:v>
                </c:pt>
                <c:pt idx="3">
                  <c:v>1987-1996</c:v>
                </c:pt>
                <c:pt idx="4">
                  <c:v>1997-2006</c:v>
                </c:pt>
                <c:pt idx="5">
                  <c:v>2007-2016</c:v>
                </c:pt>
              </c:strCache>
            </c:strRef>
          </c:cat>
          <c:val>
            <c:numRef>
              <c:f>Plot!$E$2:$E$7</c:f>
              <c:numCache>
                <c:formatCode>General</c:formatCode>
                <c:ptCount val="6"/>
                <c:pt idx="0">
                  <c:v>5250.0456156741884</c:v>
                </c:pt>
                <c:pt idx="1">
                  <c:v>2571.1894110318331</c:v>
                </c:pt>
                <c:pt idx="2">
                  <c:v>4835.8500294346868</c:v>
                </c:pt>
                <c:pt idx="3">
                  <c:v>4712.7479457323088</c:v>
                </c:pt>
                <c:pt idx="4">
                  <c:v>5309.9252257793642</c:v>
                </c:pt>
                <c:pt idx="5">
                  <c:v>3009.5720178649835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E8-324D-A522-A054B5DD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6"/>
        <c:overlap val="100"/>
        <c:axId val="1429538800"/>
        <c:axId val="1418493920"/>
      </c:barChart>
      <c:catAx>
        <c:axId val="11556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5695392"/>
        <c:crosses val="autoZero"/>
        <c:auto val="1"/>
        <c:lblAlgn val="ctr"/>
        <c:lblOffset val="100"/>
        <c:noMultiLvlLbl val="0"/>
      </c:catAx>
      <c:valAx>
        <c:axId val="115569539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bg2">
                        <a:lumMod val="50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000" b="0">
                    <a:solidFill>
                      <a:schemeClr val="bg2">
                        <a:lumMod val="50000"/>
                      </a:schemeClr>
                    </a:solidFill>
                  </a:rPr>
                  <a:t> Aggradation Rate (cm/yr)</a:t>
                </a:r>
              </a:p>
            </c:rich>
          </c:tx>
          <c:layout>
            <c:manualLayout>
              <c:xMode val="edge"/>
              <c:yMode val="edge"/>
              <c:x val="1.4391677707777321E-2"/>
              <c:y val="0.1283130164529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bg2">
                      <a:lumMod val="50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5693664"/>
        <c:crosses val="autoZero"/>
        <c:crossBetween val="between"/>
      </c:valAx>
      <c:valAx>
        <c:axId val="141849392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29538800"/>
        <c:crosses val="max"/>
        <c:crossBetween val="between"/>
      </c:valAx>
      <c:catAx>
        <c:axId val="14295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493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>
              <a:lumMod val="85000"/>
              <a:lumOff val="15000"/>
            </a:schemeClr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352302585917103E-2"/>
          <c:y val="0.12018212189303257"/>
          <c:w val="0.73074275178285952"/>
          <c:h val="0.55383070667646417"/>
        </c:manualLayout>
      </c:layout>
      <c:barChart>
        <c:barDir val="col"/>
        <c:grouping val="stacked"/>
        <c:varyColors val="0"/>
        <c:ser>
          <c:idx val="0"/>
          <c:order val="3"/>
          <c:tx>
            <c:v>Aggradation rate</c:v>
          </c:tx>
          <c:spPr>
            <a:solidFill>
              <a:schemeClr val="bg1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Plot!$A$8:$A$22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Plot!$B$8:$B$22</c:f>
              <c:numCache>
                <c:formatCode>0.00</c:formatCode>
                <c:ptCount val="15"/>
                <c:pt idx="0">
                  <c:v>2.4823313234452948</c:v>
                </c:pt>
                <c:pt idx="1">
                  <c:v>2.0655421607923632</c:v>
                </c:pt>
                <c:pt idx="2">
                  <c:v>1.9029871803148648</c:v>
                </c:pt>
                <c:pt idx="3">
                  <c:v>1.8663972931658241</c:v>
                </c:pt>
                <c:pt idx="4">
                  <c:v>1.7456723880280018</c:v>
                </c:pt>
                <c:pt idx="5">
                  <c:v>1.6940031341665953</c:v>
                </c:pt>
                <c:pt idx="6">
                  <c:v>7.8723548962955068</c:v>
                </c:pt>
                <c:pt idx="7">
                  <c:v>5.5102445874641095</c:v>
                </c:pt>
                <c:pt idx="8">
                  <c:v>4.8804579971717823</c:v>
                </c:pt>
                <c:pt idx="9">
                  <c:v>3.8134235575979885</c:v>
                </c:pt>
                <c:pt idx="10">
                  <c:v>3.8888695508158122</c:v>
                </c:pt>
                <c:pt idx="11">
                  <c:v>1.036853965730504</c:v>
                </c:pt>
                <c:pt idx="12">
                  <c:v>0.78811277576611305</c:v>
                </c:pt>
                <c:pt idx="13">
                  <c:v>0.71738108187086636</c:v>
                </c:pt>
                <c:pt idx="14">
                  <c:v>1.8772559401623696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2941-A710-DC5B661A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55693664"/>
        <c:axId val="1155695392"/>
      </c:barChart>
      <c:barChart>
        <c:barDir val="col"/>
        <c:grouping val="stacked"/>
        <c:varyColors val="0"/>
        <c:ser>
          <c:idx val="1"/>
          <c:order val="0"/>
          <c:tx>
            <c:v>Summer monsoon</c:v>
          </c:tx>
          <c:spPr>
            <a:solidFill>
              <a:srgbClr val="B55734"/>
            </a:solidFill>
            <a:ln>
              <a:solidFill>
                <a:srgbClr val="802103"/>
              </a:solidFill>
            </a:ln>
            <a:effectLst/>
          </c:spPr>
          <c:invertIfNegative val="0"/>
          <c:cat>
            <c:numRef>
              <c:f>Plot!$A$8:$A$22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Plot!$C$8:$C$22</c:f>
              <c:numCache>
                <c:formatCode>General</c:formatCode>
                <c:ptCount val="15"/>
                <c:pt idx="0">
                  <c:v>4946.6160716086961</c:v>
                </c:pt>
                <c:pt idx="1">
                  <c:v>3637.9910978695652</c:v>
                </c:pt>
                <c:pt idx="2">
                  <c:v>7154.3165001956522</c:v>
                </c:pt>
                <c:pt idx="3">
                  <c:v>3402.0771249891309</c:v>
                </c:pt>
                <c:pt idx="4">
                  <c:v>5312.2974910434787</c:v>
                </c:pt>
                <c:pt idx="5">
                  <c:v>2361.0191788152174</c:v>
                </c:pt>
                <c:pt idx="6">
                  <c:v>27494.075298913045</c:v>
                </c:pt>
                <c:pt idx="7">
                  <c:v>19879.600699456521</c:v>
                </c:pt>
                <c:pt idx="8">
                  <c:v>11997.519038043478</c:v>
                </c:pt>
                <c:pt idx="9">
                  <c:v>7620.8395848152168</c:v>
                </c:pt>
                <c:pt idx="10">
                  <c:v>2187.9714293260868</c:v>
                </c:pt>
                <c:pt idx="11">
                  <c:v>3885.7438310869561</c:v>
                </c:pt>
                <c:pt idx="12">
                  <c:v>856.35198583369572</c:v>
                </c:pt>
                <c:pt idx="13">
                  <c:v>3132.5296737934782</c:v>
                </c:pt>
                <c:pt idx="14">
                  <c:v>5344.0097099456525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9-2941-A710-DC5B661A2811}"/>
            </c:ext>
          </c:extLst>
        </c:ser>
        <c:ser>
          <c:idx val="2"/>
          <c:order val="1"/>
          <c:tx>
            <c:v>Spring snowmelt</c:v>
          </c:tx>
          <c:spPr>
            <a:solidFill>
              <a:schemeClr val="accent6"/>
            </a:solidFill>
            <a:ln>
              <a:solidFill>
                <a:schemeClr val="accent6">
                  <a:lumMod val="50000"/>
                </a:schemeClr>
              </a:solidFill>
            </a:ln>
            <a:effectLst/>
          </c:spPr>
          <c:invertIfNegative val="0"/>
          <c:cat>
            <c:numRef>
              <c:f>Plot!$A$8:$A$22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Plot!$D$8:$D$22</c:f>
              <c:numCache>
                <c:formatCode>General</c:formatCode>
                <c:ptCount val="15"/>
                <c:pt idx="0">
                  <c:v>7097.5583832527482</c:v>
                </c:pt>
                <c:pt idx="1">
                  <c:v>7097.5738352967037</c:v>
                </c:pt>
                <c:pt idx="2">
                  <c:v>5649.358136901099</c:v>
                </c:pt>
                <c:pt idx="3">
                  <c:v>7491.2407541098892</c:v>
                </c:pt>
                <c:pt idx="4">
                  <c:v>148.02662347692311</c:v>
                </c:pt>
                <c:pt idx="5">
                  <c:v>1590.8828541098903</c:v>
                </c:pt>
                <c:pt idx="6">
                  <c:v>19.88469109901099</c:v>
                </c:pt>
                <c:pt idx="7">
                  <c:v>523.93036741648348</c:v>
                </c:pt>
                <c:pt idx="8">
                  <c:v>5275.2760397802203</c:v>
                </c:pt>
                <c:pt idx="9">
                  <c:v>1122.2572573406594</c:v>
                </c:pt>
                <c:pt idx="10">
                  <c:v>6328.3509931318686</c:v>
                </c:pt>
                <c:pt idx="11">
                  <c:v>12.99188181021978</c:v>
                </c:pt>
                <c:pt idx="12">
                  <c:v>2349.1697342417583</c:v>
                </c:pt>
                <c:pt idx="13">
                  <c:v>28.219126535714288</c:v>
                </c:pt>
                <c:pt idx="14">
                  <c:v>873.85034773406596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9-2941-A710-DC5B661A2811}"/>
            </c:ext>
          </c:extLst>
        </c:ser>
        <c:ser>
          <c:idx val="3"/>
          <c:order val="2"/>
          <c:tx>
            <c:v>Winter low flow</c:v>
          </c:tx>
          <c:spPr>
            <a:solidFill>
              <a:srgbClr val="00339B"/>
            </a:solidFill>
            <a:ln>
              <a:solidFill>
                <a:srgbClr val="002060"/>
              </a:solidFill>
            </a:ln>
            <a:effectLst/>
          </c:spPr>
          <c:invertIfNegative val="0"/>
          <c:cat>
            <c:numRef>
              <c:f>Plot!$A$8:$A$22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Plot!$E$8:$E$22</c:f>
              <c:numCache>
                <c:formatCode>General</c:formatCode>
                <c:ptCount val="15"/>
                <c:pt idx="0">
                  <c:v>3493.6265987142856</c:v>
                </c:pt>
                <c:pt idx="1">
                  <c:v>3311.5086540710386</c:v>
                </c:pt>
                <c:pt idx="2">
                  <c:v>1759.2898304780222</c:v>
                </c:pt>
                <c:pt idx="3">
                  <c:v>1802.8778122692308</c:v>
                </c:pt>
                <c:pt idx="4">
                  <c:v>2386.9888687197799</c:v>
                </c:pt>
                <c:pt idx="5">
                  <c:v>2100.1646046174865</c:v>
                </c:pt>
                <c:pt idx="6">
                  <c:v>1690.402610747253</c:v>
                </c:pt>
                <c:pt idx="7">
                  <c:v>3779.6664207032964</c:v>
                </c:pt>
                <c:pt idx="8">
                  <c:v>4803.4682185329675</c:v>
                </c:pt>
                <c:pt idx="9">
                  <c:v>4971.0643113461538</c:v>
                </c:pt>
                <c:pt idx="10">
                  <c:v>7724.498277362638</c:v>
                </c:pt>
                <c:pt idx="11">
                  <c:v>447.77829297912086</c:v>
                </c:pt>
                <c:pt idx="12">
                  <c:v>958.75550839560447</c:v>
                </c:pt>
                <c:pt idx="13">
                  <c:v>400.3530013437159</c:v>
                </c:pt>
                <c:pt idx="14">
                  <c:v>1169.8247504777778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9-2941-A710-DC5B661A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6"/>
        <c:overlap val="100"/>
        <c:axId val="1429538800"/>
        <c:axId val="1418493920"/>
      </c:barChart>
      <c:catAx>
        <c:axId val="115569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5695392"/>
        <c:crosses val="autoZero"/>
        <c:auto val="1"/>
        <c:lblAlgn val="ctr"/>
        <c:lblOffset val="100"/>
        <c:noMultiLvlLbl val="0"/>
      </c:catAx>
      <c:valAx>
        <c:axId val="1155695392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bg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55693664"/>
        <c:crosses val="autoZero"/>
        <c:crossBetween val="between"/>
      </c:valAx>
      <c:valAx>
        <c:axId val="1418493920"/>
        <c:scaling>
          <c:orientation val="minMax"/>
          <c:max val="5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</a:rPr>
                  <a:t>Mean Sediment</a:t>
                </a:r>
                <a:r>
                  <a:rPr lang="en-US" sz="2000" baseline="0">
                    <a:solidFill>
                      <a:schemeClr val="tx1"/>
                    </a:solidFill>
                  </a:rPr>
                  <a:t> Load (mt/day)</a:t>
                </a:r>
                <a:endParaRPr lang="en-US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9621713603661013"/>
              <c:y val="8.50211058077266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29538800"/>
        <c:crosses val="max"/>
        <c:crossBetween val="between"/>
        <c:majorUnit val="10000"/>
      </c:valAx>
      <c:catAx>
        <c:axId val="142953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49392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52298183577513813"/>
          <c:y val="0.1614789063762912"/>
          <c:w val="0.24119250862498265"/>
          <c:h val="0.22071845828174039"/>
        </c:manualLayout>
      </c:layout>
      <c:overlay val="0"/>
      <c:spPr>
        <a:solidFill>
          <a:schemeClr val="bg1">
            <a:alpha val="54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>
              <a:lumMod val="85000"/>
              <a:lumOff val="15000"/>
            </a:schemeClr>
          </a:solidFill>
          <a:latin typeface="Helvetica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1350683</xdr:colOff>
      <xdr:row>11</xdr:row>
      <xdr:rowOff>14943</xdr:rowOff>
    </xdr:from>
    <xdr:to>
      <xdr:col>26</xdr:col>
      <xdr:colOff>172572</xdr:colOff>
      <xdr:row>15</xdr:row>
      <xdr:rowOff>35860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CD57B5-BAEA-8FE0-C43D-9F2861CF5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31271" y="4437531"/>
          <a:ext cx="1899771" cy="10966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17576</xdr:colOff>
      <xdr:row>0</xdr:row>
      <xdr:rowOff>673253</xdr:rowOff>
    </xdr:from>
    <xdr:to>
      <xdr:col>21</xdr:col>
      <xdr:colOff>55031</xdr:colOff>
      <xdr:row>21</xdr:row>
      <xdr:rowOff>188002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06927F2-4556-78F9-6967-FEE5BD1059AD}"/>
            </a:ext>
          </a:extLst>
        </xdr:cNvPr>
        <xdr:cNvGrpSpPr/>
      </xdr:nvGrpSpPr>
      <xdr:grpSpPr>
        <a:xfrm>
          <a:off x="7163239" y="673253"/>
          <a:ext cx="12431431" cy="5834147"/>
          <a:chOff x="8450874" y="5721497"/>
          <a:chExt cx="12442175" cy="5944782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B88A520F-7B9C-DE4D-A487-92BC4B819754}"/>
              </a:ext>
            </a:extLst>
          </xdr:cNvPr>
          <xdr:cNvGraphicFramePr>
            <a:graphicFrameLocks/>
          </xdr:cNvGraphicFramePr>
        </xdr:nvGraphicFramePr>
        <xdr:xfrm>
          <a:off x="8450874" y="5721497"/>
          <a:ext cx="9428238" cy="59447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5F65055B-99F9-FD46-8764-917138B48542}"/>
              </a:ext>
            </a:extLst>
          </xdr:cNvPr>
          <xdr:cNvGraphicFramePr>
            <a:graphicFrameLocks/>
          </xdr:cNvGraphicFramePr>
        </xdr:nvGraphicFramePr>
        <xdr:xfrm>
          <a:off x="11981147" y="5721498"/>
          <a:ext cx="8911902" cy="59378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86E8890B-13B3-D020-9807-65A4CA65826E}"/>
              </a:ext>
            </a:extLst>
          </xdr:cNvPr>
          <xdr:cNvSpPr txBox="1"/>
        </xdr:nvSpPr>
        <xdr:spPr>
          <a:xfrm>
            <a:off x="8518625" y="5858887"/>
            <a:ext cx="430736" cy="4385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0" rIns="9144" bIns="9144" rtlCol="0" anchor="ctr" anchorCtr="0"/>
          <a:lstStyle/>
          <a:p>
            <a:pPr algn="ctr"/>
            <a:r>
              <a:rPr lang="en-US" sz="2400">
                <a:latin typeface="Helvetica" pitchFamily="2" charset="0"/>
              </a:rPr>
              <a:t>(a)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4FFDCF9A-BC4B-8841-B675-38B32A42F098}"/>
              </a:ext>
            </a:extLst>
          </xdr:cNvPr>
          <xdr:cNvSpPr txBox="1"/>
        </xdr:nvSpPr>
        <xdr:spPr>
          <a:xfrm>
            <a:off x="12367916" y="5895076"/>
            <a:ext cx="426720" cy="4401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9144" tIns="0" rIns="9144" bIns="9144" rtlCol="0" anchor="ctr" anchorCtr="0"/>
          <a:lstStyle/>
          <a:p>
            <a:pPr algn="ctr"/>
            <a:r>
              <a:rPr lang="en-US" sz="2400">
                <a:latin typeface="Helvetica" pitchFamily="2" charset="0"/>
              </a:rPr>
              <a:t>(b)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0.05565</cdr:x>
      <cdr:y>0.02952</cdr:y>
    </cdr:from>
    <cdr:to>
      <cdr:x>0.34475</cdr:x>
      <cdr:y>0.08952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8948300-9D97-82F2-DF66-789A8B9F195C}"/>
            </a:ext>
          </a:extLst>
        </cdr:cNvPr>
        <cdr:cNvSpPr txBox="1"/>
      </cdr:nvSpPr>
      <cdr:spPr>
        <a:xfrm xmlns:a="http://schemas.openxmlformats.org/drawingml/2006/main">
          <a:off x="524275" y="172197"/>
          <a:ext cx="2723256" cy="3500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0">
              <a:solidFill>
                <a:schemeClr val="tx1">
                  <a:lumMod val="85000"/>
                  <a:lumOff val="15000"/>
                </a:schemeClr>
              </a:solidFill>
              <a:latin typeface="Helvetica" pitchFamily="2" charset="0"/>
            </a:rPr>
            <a:t>Decadal</a:t>
          </a:r>
          <a:r>
            <a:rPr lang="en-US" sz="2400" i="0" baseline="0">
              <a:solidFill>
                <a:schemeClr val="tx1">
                  <a:lumMod val="85000"/>
                  <a:lumOff val="15000"/>
                </a:schemeClr>
              </a:solidFill>
              <a:latin typeface="Helvetica" pitchFamily="2" charset="0"/>
            </a:rPr>
            <a:t> averages</a:t>
          </a:r>
          <a:endParaRPr lang="en-US" sz="2400" i="0">
            <a:solidFill>
              <a:schemeClr val="tx1">
                <a:lumMod val="85000"/>
                <a:lumOff val="15000"/>
              </a:schemeClr>
            </a:solidFill>
            <a:latin typeface="Helvetica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0.0911</cdr:x>
      <cdr:y>0.03387</cdr:y>
    </cdr:from>
    <cdr:to>
      <cdr:x>0.3862</cdr:x>
      <cdr:y>0.09387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816B80-BE70-35D5-CAD5-850206337E5E}"/>
            </a:ext>
          </a:extLst>
        </cdr:cNvPr>
        <cdr:cNvSpPr txBox="1"/>
      </cdr:nvSpPr>
      <cdr:spPr>
        <a:xfrm xmlns:a="http://schemas.openxmlformats.org/drawingml/2006/main">
          <a:off x="811217" y="197348"/>
          <a:ext cx="2627631" cy="3496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400" i="0">
              <a:solidFill>
                <a:schemeClr val="tx1">
                  <a:lumMod val="85000"/>
                  <a:lumOff val="15000"/>
                </a:schemeClr>
              </a:solidFill>
              <a:latin typeface="Helvetica" pitchFamily="2" charset="0"/>
            </a:rPr>
            <a:t>Annual</a:t>
          </a:r>
          <a:r>
            <a:rPr lang="en-US" sz="2400" i="0" baseline="0">
              <a:solidFill>
                <a:schemeClr val="tx1">
                  <a:lumMod val="85000"/>
                  <a:lumOff val="15000"/>
                </a:schemeClr>
              </a:solidFill>
              <a:latin typeface="Helvetica" pitchFamily="2" charset="0"/>
            </a:rPr>
            <a:t> averages</a:t>
          </a:r>
          <a:endParaRPr lang="en-US" sz="2400" i="0">
            <a:solidFill>
              <a:schemeClr val="tx1">
                <a:lumMod val="85000"/>
                <a:lumOff val="15000"/>
              </a:schemeClr>
            </a:solidFill>
            <a:latin typeface="Helvetica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AC0C-F7DD-244F-B838-B447C6686435}">
  <dimension ref="A1:AG29"/>
  <sheetViews>
    <sheetView zoomScale="85" zoomScaleNormal="85" workbookViewId="0">
      <selection activeCell="B5" sqref="B5"/>
    </sheetView>
  </sheetViews>
  <sheetFormatPr baseColWidth="10" defaultRowHeight="16"/>
  <cols>
    <col min="1" max="1" width="13.83203125" customWidth="1"/>
    <col min="2" max="4" width="26.33203125" customWidth="1"/>
    <col min="5" max="18" width="18.83203125" customWidth="1"/>
    <col min="19" max="19" width="22.33203125" customWidth="1"/>
    <col min="20" max="20" width="23.33203125" customWidth="1"/>
    <col min="21" max="21" width="24" customWidth="1"/>
    <col min="22" max="22" width="20.6640625" customWidth="1"/>
    <col min="23" max="23" width="20" customWidth="1"/>
    <col min="24" max="24" width="24.6640625" customWidth="1"/>
    <col min="25" max="25" width="18.33203125" customWidth="1"/>
    <col min="26" max="26" width="22" customWidth="1"/>
    <col min="27" max="27" width="11.1640625" customWidth="1"/>
    <col min="28" max="28" width="19.33203125" customWidth="1"/>
    <col min="29" max="29" width="19" customWidth="1"/>
    <col min="31" max="31" width="43.5" customWidth="1"/>
    <col min="33" max="33" width="10.83203125" customWidth="1"/>
  </cols>
  <sheetData>
    <row r="1" spans="1:33" ht="21">
      <c r="A1" s="2" t="s">
        <v>59</v>
      </c>
      <c r="B1" s="3"/>
      <c r="C1" s="3"/>
      <c r="D1" s="3"/>
      <c r="E1" s="101" t="s">
        <v>86</v>
      </c>
      <c r="F1" s="102"/>
      <c r="G1" s="97">
        <v>1200</v>
      </c>
      <c r="H1" s="98" t="s">
        <v>87</v>
      </c>
      <c r="I1" s="3"/>
      <c r="J1" s="3"/>
      <c r="K1" s="3"/>
      <c r="L1" s="3"/>
      <c r="M1" s="3"/>
      <c r="N1" s="3"/>
      <c r="O1" s="3"/>
      <c r="P1" s="3"/>
      <c r="Q1" s="3"/>
      <c r="R1" s="3"/>
      <c r="S1" s="104" t="s">
        <v>95</v>
      </c>
      <c r="T1" s="3"/>
      <c r="U1" s="3"/>
      <c r="V1" s="3"/>
      <c r="W1" s="2"/>
      <c r="X1" s="3"/>
      <c r="Y1" s="3"/>
      <c r="Z1" s="3" t="s">
        <v>34</v>
      </c>
      <c r="AA1" s="3">
        <v>4.5999999999999999E-2</v>
      </c>
      <c r="AB1" s="3"/>
      <c r="AC1" s="3"/>
      <c r="AD1" s="3"/>
    </row>
    <row r="2" spans="1:33" ht="26" customHeight="1">
      <c r="A2" s="3" t="s">
        <v>94</v>
      </c>
      <c r="B2" s="3"/>
      <c r="C2" s="3"/>
      <c r="D2" s="3"/>
      <c r="E2" s="103" t="s">
        <v>93</v>
      </c>
      <c r="F2" s="103"/>
      <c r="G2" s="100" t="s">
        <v>93</v>
      </c>
      <c r="H2" s="100"/>
      <c r="I2" s="100"/>
      <c r="J2" s="3"/>
      <c r="K2" s="100" t="s">
        <v>93</v>
      </c>
      <c r="L2" s="100"/>
      <c r="M2" s="100"/>
      <c r="N2" s="3"/>
      <c r="O2" s="100" t="s">
        <v>93</v>
      </c>
      <c r="P2" s="100"/>
      <c r="Q2" s="100"/>
      <c r="R2" s="3"/>
      <c r="S2" s="105"/>
      <c r="T2" s="99" t="s">
        <v>96</v>
      </c>
      <c r="U2" s="3" t="s">
        <v>88</v>
      </c>
      <c r="V2" s="3"/>
      <c r="W2" s="3"/>
      <c r="X2" s="3"/>
      <c r="Y2" s="3"/>
      <c r="Z2" s="3"/>
      <c r="AA2" s="3"/>
      <c r="AB2" s="100" t="s">
        <v>93</v>
      </c>
      <c r="AC2" s="100"/>
      <c r="AD2" s="100"/>
    </row>
    <row r="3" spans="1:33" s="1" customFormat="1" ht="110">
      <c r="A3" s="26" t="s">
        <v>0</v>
      </c>
      <c r="B3" s="27" t="s">
        <v>1</v>
      </c>
      <c r="C3" s="27" t="s">
        <v>18</v>
      </c>
      <c r="D3" s="27" t="s">
        <v>60</v>
      </c>
      <c r="E3" s="27" t="s">
        <v>2</v>
      </c>
      <c r="F3" s="28" t="s">
        <v>58</v>
      </c>
      <c r="G3" s="42" t="s">
        <v>37</v>
      </c>
      <c r="H3" s="37" t="s">
        <v>43</v>
      </c>
      <c r="I3" s="37" t="s">
        <v>40</v>
      </c>
      <c r="J3" s="43" t="s">
        <v>46</v>
      </c>
      <c r="K3" s="34" t="s">
        <v>38</v>
      </c>
      <c r="L3" s="35" t="s">
        <v>44</v>
      </c>
      <c r="M3" s="35" t="s">
        <v>41</v>
      </c>
      <c r="N3" s="36" t="s">
        <v>47</v>
      </c>
      <c r="O3" s="45" t="s">
        <v>39</v>
      </c>
      <c r="P3" s="46" t="s">
        <v>45</v>
      </c>
      <c r="Q3" s="46" t="s">
        <v>42</v>
      </c>
      <c r="R3" s="47" t="s">
        <v>48</v>
      </c>
      <c r="S3" s="26" t="s">
        <v>3</v>
      </c>
      <c r="T3" s="27" t="s">
        <v>8</v>
      </c>
      <c r="U3" s="27" t="s">
        <v>4</v>
      </c>
      <c r="V3" s="26" t="s">
        <v>6</v>
      </c>
      <c r="W3" s="28" t="s">
        <v>7</v>
      </c>
      <c r="X3" s="26" t="s">
        <v>32</v>
      </c>
      <c r="Y3" s="27" t="s">
        <v>33</v>
      </c>
      <c r="Z3" s="28" t="s">
        <v>89</v>
      </c>
      <c r="AA3" s="4"/>
      <c r="AB3" s="48" t="s">
        <v>13</v>
      </c>
      <c r="AC3" s="24" t="s">
        <v>14</v>
      </c>
      <c r="AD3" s="24" t="s">
        <v>15</v>
      </c>
      <c r="AE3" s="24" t="s">
        <v>5</v>
      </c>
      <c r="AF3" s="49"/>
      <c r="AG3" s="50"/>
    </row>
    <row r="4" spans="1:33" ht="21">
      <c r="A4" s="10" t="s">
        <v>52</v>
      </c>
      <c r="B4" s="3">
        <v>1317.0318600000001</v>
      </c>
      <c r="C4" s="3">
        <f>B4*3.28084</f>
        <v>4320.9708075624003</v>
      </c>
      <c r="D4" s="3">
        <v>10957.28244520002</v>
      </c>
      <c r="E4" s="3">
        <v>42309769283.300003</v>
      </c>
      <c r="F4" s="11">
        <f>G4+K4+O4</f>
        <v>42309769283.279999</v>
      </c>
      <c r="G4" s="10">
        <v>14739945351.700001</v>
      </c>
      <c r="H4" s="3">
        <f>G4*0.001</f>
        <v>14739945.3517</v>
      </c>
      <c r="I4" s="3">
        <v>856</v>
      </c>
      <c r="J4" s="11">
        <f>H4/I4</f>
        <v>17219.562326752337</v>
      </c>
      <c r="K4" s="10">
        <v>18030491047.900002</v>
      </c>
      <c r="L4" s="3">
        <f>K4*0.001</f>
        <v>18030491.047900002</v>
      </c>
      <c r="M4" s="3">
        <v>882</v>
      </c>
      <c r="N4" s="11">
        <f t="shared" ref="N4:N9" si="0">L4/M4</f>
        <v>20442.733614399094</v>
      </c>
      <c r="O4" s="10">
        <v>9539332883.6800003</v>
      </c>
      <c r="P4" s="3">
        <f t="shared" ref="P4:P9" si="1">O4*0.001</f>
        <v>9539332.8836800009</v>
      </c>
      <c r="Q4" s="3">
        <v>1817</v>
      </c>
      <c r="R4" s="11">
        <f>P4/Q4</f>
        <v>5250.0456156741884</v>
      </c>
      <c r="S4" s="10">
        <f>E4/$G$1</f>
        <v>35258141.069416672</v>
      </c>
      <c r="T4" s="3">
        <f t="shared" ref="T4:T9" si="2">S4*Z4</f>
        <v>28085927.366968155</v>
      </c>
      <c r="U4" s="6">
        <f>D4*4046.86</f>
        <v>44342588.036182158</v>
      </c>
      <c r="V4" s="10">
        <f>T4/U4</f>
        <v>0.63338493784013961</v>
      </c>
      <c r="W4" s="75">
        <f>(V4*100)/AD4</f>
        <v>6.5075625470073426</v>
      </c>
      <c r="X4" s="10">
        <v>25923</v>
      </c>
      <c r="Y4" s="56">
        <v>2206800</v>
      </c>
      <c r="Z4" s="11">
        <f t="shared" ref="Z4:Z9" si="3">1-(1/(1+$AA$1*(Y4/X4)))</f>
        <v>0.79657992495044561</v>
      </c>
      <c r="AA4" s="3"/>
      <c r="AB4" s="10">
        <v>98</v>
      </c>
      <c r="AC4" s="3">
        <v>3555</v>
      </c>
      <c r="AD4" s="51">
        <f>AC4/365.25</f>
        <v>9.7330595482546194</v>
      </c>
      <c r="AE4" s="3" t="s">
        <v>61</v>
      </c>
      <c r="AG4" s="52"/>
    </row>
    <row r="5" spans="1:33" ht="21">
      <c r="A5" s="10" t="s">
        <v>53</v>
      </c>
      <c r="B5" s="3">
        <v>1317.15102</v>
      </c>
      <c r="C5" s="3">
        <f t="shared" ref="C5:C9" si="4">B5*3.28084</f>
        <v>4321.3617524567999</v>
      </c>
      <c r="D5" s="3">
        <v>10368.030642502399</v>
      </c>
      <c r="E5" s="3">
        <v>33063009470.900002</v>
      </c>
      <c r="F5" s="11">
        <f t="shared" ref="F5:F9" si="5">G5+K5+O5</f>
        <v>33063009470.900002</v>
      </c>
      <c r="G5" s="10">
        <v>15638773302.1</v>
      </c>
      <c r="H5" s="3">
        <f t="shared" ref="H5:H9" si="6">G5*0.001</f>
        <v>15638773.302100001</v>
      </c>
      <c r="I5" s="3">
        <v>920</v>
      </c>
      <c r="J5" s="11">
        <f t="shared" ref="J5:J9" si="7">H5/I5</f>
        <v>16998.666632717392</v>
      </c>
      <c r="K5" s="10">
        <v>12739529061.9</v>
      </c>
      <c r="L5" s="3">
        <f t="shared" ref="L5:L9" si="8">K5*0.001</f>
        <v>12739529.061899999</v>
      </c>
      <c r="M5" s="3">
        <v>910</v>
      </c>
      <c r="N5" s="11">
        <f t="shared" si="0"/>
        <v>13999.482485604394</v>
      </c>
      <c r="O5" s="10">
        <v>4684707106.8999996</v>
      </c>
      <c r="P5" s="3">
        <f t="shared" si="1"/>
        <v>4684707.1069</v>
      </c>
      <c r="Q5" s="3">
        <v>1822</v>
      </c>
      <c r="R5" s="11">
        <f t="shared" ref="R5:R9" si="9">P5/Q5</f>
        <v>2571.1894110318331</v>
      </c>
      <c r="S5" s="10">
        <f t="shared" ref="S5:S9" si="10">E5/$G$1</f>
        <v>27552507.892416667</v>
      </c>
      <c r="T5" s="3">
        <f t="shared" si="2"/>
        <v>24599189.876627658</v>
      </c>
      <c r="U5" s="6">
        <f t="shared" ref="U5:U9" si="11">D5*4046.86</f>
        <v>41957968.485917263</v>
      </c>
      <c r="V5" s="10">
        <f t="shared" ref="V5:V9" si="12">T5/U5</f>
        <v>0.5862817186891236</v>
      </c>
      <c r="W5" s="75">
        <f t="shared" ref="W5:W9" si="13">(V5*100)/AD5</f>
        <v>5.8636198727054323</v>
      </c>
      <c r="X5" s="3">
        <v>11803</v>
      </c>
      <c r="Y5" s="56">
        <v>2137200</v>
      </c>
      <c r="Z5" s="11">
        <f t="shared" si="3"/>
        <v>0.89281128137878674</v>
      </c>
      <c r="AA5" s="3"/>
      <c r="AB5" s="10">
        <v>0</v>
      </c>
      <c r="AC5" s="3">
        <v>3652</v>
      </c>
      <c r="AD5" s="51">
        <f t="shared" ref="AD5:AD9" si="14">AC5/365.25</f>
        <v>9.9986310746064344</v>
      </c>
      <c r="AE5" s="3" t="s">
        <v>66</v>
      </c>
      <c r="AG5" s="52"/>
    </row>
    <row r="6" spans="1:33" ht="21">
      <c r="A6" s="10" t="s">
        <v>54</v>
      </c>
      <c r="B6" s="3">
        <v>1329.5195200000001</v>
      </c>
      <c r="C6" s="3">
        <f t="shared" si="4"/>
        <v>4361.9408219968</v>
      </c>
      <c r="D6" s="3">
        <v>19250.070078634424</v>
      </c>
      <c r="E6" s="3">
        <v>40096426801.699997</v>
      </c>
      <c r="F6" s="11">
        <f t="shared" si="5"/>
        <v>40096426801.729996</v>
      </c>
      <c r="G6" s="10">
        <v>16504388367.9</v>
      </c>
      <c r="H6" s="3">
        <f t="shared" si="6"/>
        <v>16504388.367900001</v>
      </c>
      <c r="I6" s="3">
        <v>920</v>
      </c>
      <c r="J6" s="11">
        <f t="shared" si="7"/>
        <v>17939.552573804347</v>
      </c>
      <c r="K6" s="10">
        <v>14781119680.200001</v>
      </c>
      <c r="L6" s="3">
        <f t="shared" si="8"/>
        <v>14781119.680200001</v>
      </c>
      <c r="M6" s="3">
        <v>910</v>
      </c>
      <c r="N6" s="11">
        <f t="shared" si="0"/>
        <v>16242.98865956044</v>
      </c>
      <c r="O6" s="10">
        <v>8810918753.6299992</v>
      </c>
      <c r="P6" s="3">
        <f t="shared" si="1"/>
        <v>8810918.7536299992</v>
      </c>
      <c r="Q6" s="3">
        <v>1822</v>
      </c>
      <c r="R6" s="11">
        <f t="shared" si="9"/>
        <v>4835.8500294346868</v>
      </c>
      <c r="S6" s="10">
        <f t="shared" si="10"/>
        <v>33413689.001416665</v>
      </c>
      <c r="T6" s="3">
        <f t="shared" si="2"/>
        <v>29720749.646481253</v>
      </c>
      <c r="U6" s="6">
        <f t="shared" si="11"/>
        <v>77902338.598422512</v>
      </c>
      <c r="V6" s="10">
        <f t="shared" si="12"/>
        <v>0.38151293248959134</v>
      </c>
      <c r="W6" s="75">
        <f t="shared" si="13"/>
        <v>3.8156516591408334</v>
      </c>
      <c r="X6" s="10">
        <v>11803</v>
      </c>
      <c r="Y6" s="57">
        <v>2065010</v>
      </c>
      <c r="Z6" s="11">
        <f t="shared" si="3"/>
        <v>0.88947825082172638</v>
      </c>
      <c r="AA6" s="3"/>
      <c r="AB6" s="10">
        <v>0</v>
      </c>
      <c r="AC6" s="3">
        <v>3652</v>
      </c>
      <c r="AD6" s="51">
        <f t="shared" si="14"/>
        <v>9.9986310746064344</v>
      </c>
      <c r="AE6" s="3" t="s">
        <v>62</v>
      </c>
      <c r="AG6" s="52"/>
    </row>
    <row r="7" spans="1:33" ht="21">
      <c r="A7" s="10" t="s">
        <v>55</v>
      </c>
      <c r="B7" s="3">
        <v>1341.12796</v>
      </c>
      <c r="C7" s="3">
        <f t="shared" si="4"/>
        <v>4400.0262562864</v>
      </c>
      <c r="D7" s="3">
        <v>33498.798545783851</v>
      </c>
      <c r="E7" s="3">
        <v>30109543944.299999</v>
      </c>
      <c r="F7" s="11">
        <f t="shared" si="5"/>
        <v>30109543944.27</v>
      </c>
      <c r="G7" s="10">
        <v>10935817231.5</v>
      </c>
      <c r="H7" s="3">
        <f t="shared" si="6"/>
        <v>10935817.2315</v>
      </c>
      <c r="I7" s="3">
        <v>920</v>
      </c>
      <c r="J7" s="11">
        <f t="shared" si="7"/>
        <v>11886.757860326086</v>
      </c>
      <c r="K7" s="10">
        <v>10582387207.700001</v>
      </c>
      <c r="L7" s="3">
        <f t="shared" si="8"/>
        <v>10582387.207700001</v>
      </c>
      <c r="M7" s="3">
        <v>910</v>
      </c>
      <c r="N7" s="11">
        <f t="shared" si="0"/>
        <v>11628.996931538462</v>
      </c>
      <c r="O7" s="10">
        <v>8591339505.0699997</v>
      </c>
      <c r="P7" s="3">
        <f t="shared" si="1"/>
        <v>8591339.505069999</v>
      </c>
      <c r="Q7" s="3">
        <v>1823</v>
      </c>
      <c r="R7" s="11">
        <f t="shared" si="9"/>
        <v>4712.7479457323088</v>
      </c>
      <c r="S7" s="10">
        <f t="shared" si="10"/>
        <v>25091286.620249998</v>
      </c>
      <c r="T7" s="3">
        <f t="shared" si="2"/>
        <v>22232937.439076211</v>
      </c>
      <c r="U7" s="6">
        <f t="shared" si="11"/>
        <v>135564947.88299084</v>
      </c>
      <c r="V7" s="10">
        <f t="shared" si="12"/>
        <v>0.16400210958857861</v>
      </c>
      <c r="W7" s="75">
        <f t="shared" si="13"/>
        <v>1.6397966199624512</v>
      </c>
      <c r="X7" s="10">
        <v>11966</v>
      </c>
      <c r="Y7" s="57">
        <v>2023358</v>
      </c>
      <c r="Z7" s="11">
        <f t="shared" si="3"/>
        <v>0.8860820003201052</v>
      </c>
      <c r="AA7" s="3"/>
      <c r="AB7" s="10">
        <v>0</v>
      </c>
      <c r="AC7" s="3">
        <v>3653</v>
      </c>
      <c r="AD7" s="51">
        <f t="shared" si="14"/>
        <v>10.001368925393566</v>
      </c>
      <c r="AE7" s="3" t="s">
        <v>63</v>
      </c>
      <c r="AG7" s="52"/>
    </row>
    <row r="8" spans="1:33" ht="21">
      <c r="A8" s="10" t="s">
        <v>56</v>
      </c>
      <c r="B8" s="3">
        <v>1328.2708</v>
      </c>
      <c r="C8" s="3">
        <f t="shared" si="4"/>
        <v>4357.8439714719998</v>
      </c>
      <c r="D8" s="3">
        <v>17162.903779960237</v>
      </c>
      <c r="E8" s="3">
        <v>29554634730.400002</v>
      </c>
      <c r="F8" s="11">
        <f t="shared" si="5"/>
        <v>29554634730.380005</v>
      </c>
      <c r="G8" s="10">
        <v>13015378600.6</v>
      </c>
      <c r="H8" s="3">
        <f t="shared" si="6"/>
        <v>13015378.6006</v>
      </c>
      <c r="I8" s="3">
        <v>920</v>
      </c>
      <c r="J8" s="11">
        <f t="shared" si="7"/>
        <v>14147.150652826087</v>
      </c>
      <c r="K8" s="10">
        <v>6864572368.4099998</v>
      </c>
      <c r="L8" s="3">
        <f t="shared" si="8"/>
        <v>6864572.3684099996</v>
      </c>
      <c r="M8" s="3">
        <v>910</v>
      </c>
      <c r="N8" s="11">
        <f t="shared" si="0"/>
        <v>7543.4861191318678</v>
      </c>
      <c r="O8" s="10">
        <v>9674683761.3700008</v>
      </c>
      <c r="P8" s="3">
        <f t="shared" si="1"/>
        <v>9674683.7613700014</v>
      </c>
      <c r="Q8" s="3">
        <v>1822</v>
      </c>
      <c r="R8" s="11">
        <f t="shared" si="9"/>
        <v>5309.9252257793642</v>
      </c>
      <c r="S8" s="10">
        <f t="shared" si="10"/>
        <v>24628862.275333334</v>
      </c>
      <c r="T8" s="3">
        <f t="shared" si="2"/>
        <v>21824699.555466942</v>
      </c>
      <c r="U8" s="6">
        <f t="shared" si="11"/>
        <v>69455868.790969893</v>
      </c>
      <c r="V8" s="10">
        <f t="shared" si="12"/>
        <v>0.31422398042632244</v>
      </c>
      <c r="W8" s="75">
        <f t="shared" si="13"/>
        <v>3.1426700123415734</v>
      </c>
      <c r="X8" s="10">
        <v>11966</v>
      </c>
      <c r="Y8" s="56">
        <v>2024586</v>
      </c>
      <c r="Z8" s="11">
        <f t="shared" si="3"/>
        <v>0.88614322949562885</v>
      </c>
      <c r="AA8" s="3"/>
      <c r="AB8" s="10">
        <v>0</v>
      </c>
      <c r="AC8" s="3">
        <v>3652</v>
      </c>
      <c r="AD8" s="51">
        <f t="shared" si="14"/>
        <v>9.9986310746064344</v>
      </c>
      <c r="AE8" s="3" t="s">
        <v>64</v>
      </c>
      <c r="AG8" s="52"/>
    </row>
    <row r="9" spans="1:33" ht="21">
      <c r="A9" s="12" t="s">
        <v>57</v>
      </c>
      <c r="B9" s="13">
        <v>1318.7959900000001</v>
      </c>
      <c r="C9" s="13">
        <f t="shared" si="4"/>
        <v>4326.7586358316003</v>
      </c>
      <c r="D9" s="13">
        <v>10386.154736902099</v>
      </c>
      <c r="E9" s="13">
        <v>17391079602.200001</v>
      </c>
      <c r="F9" s="15">
        <f t="shared" si="5"/>
        <v>17391079602.23</v>
      </c>
      <c r="G9" s="12">
        <v>8630184391.8899994</v>
      </c>
      <c r="H9" s="13">
        <f t="shared" si="6"/>
        <v>8630184.3918899987</v>
      </c>
      <c r="I9" s="13">
        <v>920</v>
      </c>
      <c r="J9" s="15">
        <f t="shared" si="7"/>
        <v>9380.6352085760864</v>
      </c>
      <c r="K9" s="12">
        <v>3277454993.79</v>
      </c>
      <c r="L9" s="13">
        <f t="shared" si="8"/>
        <v>3277454.9937900002</v>
      </c>
      <c r="M9" s="13">
        <v>910</v>
      </c>
      <c r="N9" s="15">
        <f t="shared" si="0"/>
        <v>3601.5988942747254</v>
      </c>
      <c r="O9" s="12">
        <v>5483440216.5500002</v>
      </c>
      <c r="P9" s="13">
        <f t="shared" si="1"/>
        <v>5483440.21655</v>
      </c>
      <c r="Q9" s="13">
        <v>1822</v>
      </c>
      <c r="R9" s="15">
        <f t="shared" si="9"/>
        <v>3009.5720178649835</v>
      </c>
      <c r="S9" s="12">
        <f t="shared" si="10"/>
        <v>14492566.335166667</v>
      </c>
      <c r="T9" s="13">
        <f t="shared" si="2"/>
        <v>12832545.613232318</v>
      </c>
      <c r="U9" s="14">
        <f t="shared" si="11"/>
        <v>42031314.158579633</v>
      </c>
      <c r="V9" s="12">
        <f t="shared" si="12"/>
        <v>0.30530916936873548</v>
      </c>
      <c r="W9" s="74">
        <f t="shared" si="13"/>
        <v>3.0535096963836428</v>
      </c>
      <c r="X9" s="12">
        <v>11966</v>
      </c>
      <c r="Y9" s="58">
        <v>2010900</v>
      </c>
      <c r="Z9" s="15">
        <f t="shared" si="3"/>
        <v>0.88545708996299322</v>
      </c>
      <c r="AA9" s="3"/>
      <c r="AB9" s="12">
        <v>1</v>
      </c>
      <c r="AC9" s="13">
        <v>3652</v>
      </c>
      <c r="AD9" s="53">
        <f t="shared" si="14"/>
        <v>9.9986310746064344</v>
      </c>
      <c r="AE9" s="13" t="s">
        <v>65</v>
      </c>
      <c r="AF9" s="54"/>
      <c r="AG9" s="55"/>
    </row>
    <row r="10" spans="1:33" ht="21">
      <c r="A10" s="61" t="s">
        <v>35</v>
      </c>
      <c r="B10" s="62">
        <f>AVERAGE(B4:B9)</f>
        <v>1325.3161916666668</v>
      </c>
      <c r="C10" s="63">
        <f>AVERAGE(C4:C9)</f>
        <v>4348.1503742676668</v>
      </c>
      <c r="D10" s="2"/>
      <c r="S10" s="3"/>
      <c r="V10" s="59" t="s">
        <v>35</v>
      </c>
      <c r="W10" s="73">
        <f>AVERAGE(W4:W9)</f>
        <v>4.0038017345902119</v>
      </c>
    </row>
    <row r="11" spans="1:33" ht="21">
      <c r="S11" s="5"/>
      <c r="T11" s="5"/>
      <c r="V11" s="60" t="s">
        <v>36</v>
      </c>
      <c r="W11" s="74">
        <f>STDEV(W4:W9)</f>
        <v>1.8437063294612621</v>
      </c>
    </row>
    <row r="12" spans="1:33" ht="21">
      <c r="X12" s="3"/>
      <c r="Y12" s="3"/>
      <c r="Z12" s="3"/>
      <c r="AA12" s="3"/>
      <c r="AB12" s="3"/>
    </row>
    <row r="13" spans="1:33" ht="21">
      <c r="A13" s="8"/>
      <c r="X13" s="3"/>
      <c r="Y13" s="3"/>
      <c r="Z13" s="3"/>
      <c r="AA13" s="3"/>
      <c r="AB13" s="3"/>
    </row>
    <row r="14" spans="1:33" ht="21">
      <c r="A14" s="8"/>
      <c r="X14" s="3"/>
      <c r="Y14" s="3"/>
      <c r="Z14" s="3"/>
      <c r="AA14" s="3"/>
      <c r="AB14" s="3"/>
    </row>
    <row r="15" spans="1:33" ht="21">
      <c r="A15" s="8"/>
      <c r="X15" s="3"/>
      <c r="Y15" s="3"/>
      <c r="Z15" s="3"/>
      <c r="AA15" s="3"/>
      <c r="AB15" s="3"/>
    </row>
    <row r="16" spans="1:33" ht="21">
      <c r="A16" s="8"/>
      <c r="X16" s="3"/>
      <c r="Y16" s="3"/>
      <c r="Z16" s="3"/>
      <c r="AA16" s="3"/>
      <c r="AB16" s="3"/>
    </row>
    <row r="17" spans="1:33" ht="21">
      <c r="A17" s="8"/>
      <c r="X17" s="3"/>
      <c r="Y17" s="3"/>
      <c r="Z17" s="3" t="s">
        <v>90</v>
      </c>
      <c r="AA17" s="3"/>
      <c r="AB17" s="3"/>
    </row>
    <row r="18" spans="1:33" ht="21">
      <c r="A18" s="8"/>
      <c r="Z18" s="3" t="s">
        <v>91</v>
      </c>
    </row>
    <row r="19" spans="1:33" ht="21">
      <c r="Z19" s="3" t="s">
        <v>92</v>
      </c>
    </row>
    <row r="20" spans="1:33" ht="21">
      <c r="X20" s="4"/>
      <c r="Y20" s="4"/>
      <c r="AA20" s="4"/>
      <c r="AB20" s="4"/>
      <c r="AC20" s="4"/>
      <c r="AD20" s="4"/>
      <c r="AE20" s="4"/>
      <c r="AF20" s="3"/>
      <c r="AG20" s="3"/>
    </row>
    <row r="21" spans="1:33" ht="21"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ht="21">
      <c r="X22" s="3"/>
      <c r="Y22" s="3"/>
      <c r="Z22" s="3"/>
      <c r="AA22" s="3"/>
      <c r="AB22" s="3"/>
      <c r="AC22" s="3"/>
      <c r="AD22" s="3"/>
      <c r="AE22" s="3"/>
    </row>
    <row r="23" spans="1:33" ht="21">
      <c r="W23" s="3"/>
      <c r="X23" s="4"/>
      <c r="Y23" s="3"/>
      <c r="Z23" s="3"/>
      <c r="AA23" s="3"/>
      <c r="AB23" s="3"/>
      <c r="AC23" s="3"/>
      <c r="AD23" s="3"/>
      <c r="AE23" s="3"/>
    </row>
    <row r="24" spans="1:33" ht="21">
      <c r="X24" s="1"/>
      <c r="Z24" s="3"/>
      <c r="AA24" s="3"/>
      <c r="AB24" s="3"/>
      <c r="AC24" s="3"/>
      <c r="AD24" s="3"/>
      <c r="AE24" s="3"/>
    </row>
    <row r="25" spans="1:33">
      <c r="O25" s="7"/>
      <c r="P25" s="7"/>
    </row>
    <row r="26" spans="1:33">
      <c r="O26" s="7"/>
      <c r="P26" s="7"/>
    </row>
    <row r="29" spans="1:33">
      <c r="K29" s="7"/>
      <c r="L29" s="7"/>
    </row>
  </sheetData>
  <mergeCells count="7">
    <mergeCell ref="AB2:AD2"/>
    <mergeCell ref="E1:F1"/>
    <mergeCell ref="E2:F2"/>
    <mergeCell ref="G2:I2"/>
    <mergeCell ref="K2:M2"/>
    <mergeCell ref="O2:Q2"/>
    <mergeCell ref="S1:S2"/>
  </mergeCells>
  <phoneticPr fontId="1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326A-540F-4848-8145-13AB60DBE6F5}">
  <dimension ref="A1:AK41"/>
  <sheetViews>
    <sheetView zoomScale="95" zoomScaleNormal="95" workbookViewId="0">
      <selection activeCell="AL18" sqref="AL18"/>
    </sheetView>
  </sheetViews>
  <sheetFormatPr baseColWidth="10" defaultRowHeight="16"/>
  <cols>
    <col min="1" max="1" width="18.1640625" customWidth="1"/>
    <col min="2" max="2" width="17" customWidth="1"/>
    <col min="3" max="3" width="23" customWidth="1"/>
    <col min="4" max="4" width="21.33203125" customWidth="1"/>
    <col min="5" max="5" width="22.5" customWidth="1"/>
    <col min="6" max="12" width="18.1640625" customWidth="1"/>
    <col min="13" max="13" width="25.6640625" customWidth="1"/>
    <col min="14" max="14" width="30.1640625" customWidth="1"/>
    <col min="15" max="17" width="24.1640625" customWidth="1"/>
    <col min="18" max="19" width="18.1640625" customWidth="1"/>
    <col min="20" max="21" width="20.1640625" customWidth="1"/>
    <col min="22" max="22" width="24.5" customWidth="1"/>
    <col min="23" max="23" width="18.1640625" customWidth="1"/>
    <col min="24" max="25" width="21.33203125" customWidth="1"/>
    <col min="26" max="28" width="18.33203125" customWidth="1"/>
    <col min="29" max="29" width="18.1640625" customWidth="1"/>
    <col min="30" max="30" width="15.1640625" customWidth="1"/>
    <col min="31" max="31" width="20" customWidth="1"/>
    <col min="32" max="32" width="19" customWidth="1"/>
    <col min="33" max="33" width="18.33203125" customWidth="1"/>
    <col min="34" max="34" width="15.5" customWidth="1"/>
    <col min="35" max="35" width="14.83203125" customWidth="1"/>
    <col min="36" max="37" width="19.83203125" customWidth="1"/>
  </cols>
  <sheetData>
    <row r="1" spans="1:37" ht="21">
      <c r="A1" s="2" t="s">
        <v>67</v>
      </c>
      <c r="B1" s="3"/>
      <c r="C1" s="3"/>
      <c r="D1" s="3"/>
      <c r="E1" s="3"/>
      <c r="F1" s="2" t="s">
        <v>72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F1" s="3"/>
    </row>
    <row r="2" spans="1:37" ht="21">
      <c r="A2" s="3" t="s">
        <v>94</v>
      </c>
      <c r="B2" s="3"/>
      <c r="C2" s="3"/>
      <c r="D2" s="3" t="s">
        <v>51</v>
      </c>
      <c r="F2" s="100" t="s">
        <v>93</v>
      </c>
      <c r="G2" s="100"/>
      <c r="H2" s="3"/>
      <c r="I2" s="3"/>
      <c r="J2" s="3"/>
      <c r="K2" s="3"/>
      <c r="L2" s="3"/>
      <c r="M2" s="3" t="s">
        <v>51</v>
      </c>
      <c r="O2" s="100" t="s">
        <v>93</v>
      </c>
      <c r="P2" s="100"/>
      <c r="Q2" s="3"/>
      <c r="R2" s="13"/>
      <c r="S2" s="13"/>
      <c r="T2" s="100" t="s">
        <v>93</v>
      </c>
      <c r="U2" s="100"/>
      <c r="V2" s="3"/>
      <c r="W2" s="3"/>
      <c r="X2" s="3"/>
      <c r="Y2" s="3"/>
      <c r="Z2" s="3"/>
      <c r="AA2" s="3" t="s">
        <v>51</v>
      </c>
      <c r="AC2" s="3"/>
      <c r="AD2" s="3"/>
      <c r="AE2" s="3"/>
      <c r="AF2" s="3"/>
    </row>
    <row r="3" spans="1:37" ht="110">
      <c r="A3" s="27" t="s">
        <v>9</v>
      </c>
      <c r="B3" s="27" t="s">
        <v>1</v>
      </c>
      <c r="C3" s="27" t="s">
        <v>18</v>
      </c>
      <c r="D3" s="27" t="s">
        <v>19</v>
      </c>
      <c r="E3" s="28" t="s">
        <v>4</v>
      </c>
      <c r="F3" s="29" t="s">
        <v>10</v>
      </c>
      <c r="G3" s="30" t="s">
        <v>80</v>
      </c>
      <c r="H3" s="30" t="s">
        <v>78</v>
      </c>
      <c r="I3" s="30" t="s">
        <v>29</v>
      </c>
      <c r="J3" s="30" t="s">
        <v>49</v>
      </c>
      <c r="K3" s="30" t="s">
        <v>81</v>
      </c>
      <c r="L3" s="30" t="s">
        <v>24</v>
      </c>
      <c r="M3" s="30" t="s">
        <v>23</v>
      </c>
      <c r="N3" s="31" t="s">
        <v>27</v>
      </c>
      <c r="O3" s="32" t="s">
        <v>11</v>
      </c>
      <c r="P3" s="33" t="s">
        <v>82</v>
      </c>
      <c r="Q3" s="33" t="s">
        <v>77</v>
      </c>
      <c r="R3" s="90" t="s">
        <v>16</v>
      </c>
      <c r="S3" s="91" t="s">
        <v>83</v>
      </c>
      <c r="T3" s="35" t="s">
        <v>12</v>
      </c>
      <c r="U3" s="35" t="s">
        <v>84</v>
      </c>
      <c r="V3" s="35" t="s">
        <v>79</v>
      </c>
      <c r="W3" s="35" t="s">
        <v>30</v>
      </c>
      <c r="X3" s="35" t="s">
        <v>50</v>
      </c>
      <c r="Y3" s="35" t="s">
        <v>85</v>
      </c>
      <c r="Z3" s="35" t="s">
        <v>25</v>
      </c>
      <c r="AA3" s="35" t="s">
        <v>26</v>
      </c>
      <c r="AB3" s="36" t="s">
        <v>28</v>
      </c>
      <c r="AC3" s="26" t="s">
        <v>2</v>
      </c>
      <c r="AD3" s="27" t="s">
        <v>17</v>
      </c>
      <c r="AE3" s="27" t="s">
        <v>3</v>
      </c>
      <c r="AF3" s="27" t="s">
        <v>8</v>
      </c>
      <c r="AG3" s="27" t="s">
        <v>20</v>
      </c>
      <c r="AH3" s="28" t="s">
        <v>21</v>
      </c>
      <c r="AI3" s="37" t="s">
        <v>22</v>
      </c>
      <c r="AJ3" s="36" t="s">
        <v>31</v>
      </c>
      <c r="AK3" s="4"/>
    </row>
    <row r="4" spans="1:37" ht="21">
      <c r="A4" s="4">
        <v>2007</v>
      </c>
      <c r="B4" s="3">
        <v>1322.2374</v>
      </c>
      <c r="C4" s="67">
        <f>B4*3.28084</f>
        <v>4338.0493514159998</v>
      </c>
      <c r="D4" s="3">
        <v>12757.33</v>
      </c>
      <c r="E4" s="4">
        <f>D4*4046.86</f>
        <v>51627128.483800001</v>
      </c>
      <c r="F4" s="38">
        <v>455088678.588</v>
      </c>
      <c r="G4" s="3">
        <f>F4*0.001</f>
        <v>455088.67858800001</v>
      </c>
      <c r="H4" s="3">
        <f>F4*0.88545709</f>
        <v>402961497.03447574</v>
      </c>
      <c r="I4" s="4">
        <f>H4/1200</f>
        <v>335801.24752872979</v>
      </c>
      <c r="J4" s="4">
        <v>92</v>
      </c>
      <c r="K4" s="4">
        <f>G4/J4</f>
        <v>4946.6160716086961</v>
      </c>
      <c r="L4" s="6">
        <v>4334.5258695652101</v>
      </c>
      <c r="M4" s="3">
        <v>11843.29</v>
      </c>
      <c r="N4" s="22">
        <f>M4*4046.86</f>
        <v>47928136.569400005</v>
      </c>
      <c r="O4" s="3">
        <v>635840040.96599996</v>
      </c>
      <c r="P4" s="3">
        <f>O4*0.001</f>
        <v>635840.04096599994</v>
      </c>
      <c r="Q4" s="4">
        <f>O4/1200</f>
        <v>529866.70080499991</v>
      </c>
      <c r="R4" s="4">
        <v>182</v>
      </c>
      <c r="S4" s="22">
        <f>P4/R4</f>
        <v>3493.6265987142856</v>
      </c>
      <c r="T4" s="3">
        <v>645877812.87600005</v>
      </c>
      <c r="U4" s="3">
        <f>T4*0.001</f>
        <v>645877.81287600007</v>
      </c>
      <c r="V4" s="4">
        <f>T4*0.88545709</f>
        <v>571897088.68474746</v>
      </c>
      <c r="W4" s="4">
        <f>V4/1200</f>
        <v>476580.90723728953</v>
      </c>
      <c r="X4" s="4">
        <v>91</v>
      </c>
      <c r="Y4" s="4">
        <f>U4/X4</f>
        <v>7097.5583832527482</v>
      </c>
      <c r="Z4" s="6">
        <v>4345.7850549450504</v>
      </c>
      <c r="AA4" s="3">
        <v>14328.51</v>
      </c>
      <c r="AB4" s="22">
        <f>AA4*4046.86</f>
        <v>57985473.978600003</v>
      </c>
      <c r="AC4" s="70">
        <f>F4+O4+T4</f>
        <v>1736806532.4299998</v>
      </c>
      <c r="AD4" s="4">
        <v>365</v>
      </c>
      <c r="AE4" s="70">
        <f>AC4/1200</f>
        <v>1447338.777025</v>
      </c>
      <c r="AF4" s="70">
        <f>AE4*0.88545709</f>
        <v>1281556.3817487152</v>
      </c>
      <c r="AG4" s="67">
        <f>AF4/E4</f>
        <v>2.4823313234452946E-2</v>
      </c>
      <c r="AH4" s="69">
        <f>AG4*100</f>
        <v>2.4823313234452948</v>
      </c>
      <c r="AI4" s="67">
        <f>(I4/N4)*100</f>
        <v>0.7006348912449144</v>
      </c>
      <c r="AJ4" s="69">
        <f>(W4/AB4)*100</f>
        <v>0.82189706238009785</v>
      </c>
      <c r="AK4" s="4"/>
    </row>
    <row r="5" spans="1:37" ht="21">
      <c r="A5" s="4">
        <v>2008</v>
      </c>
      <c r="B5" s="3">
        <v>1324.0415</v>
      </c>
      <c r="C5" s="67">
        <f t="shared" ref="C5:C6" si="0">B5*3.28084</f>
        <v>4343.9683148599997</v>
      </c>
      <c r="D5" s="3">
        <v>14005.42</v>
      </c>
      <c r="E5" s="4">
        <f t="shared" ref="E5:E6" si="1">D5*4046.86</f>
        <v>56677973.981200002</v>
      </c>
      <c r="F5" s="10">
        <v>334695181.00400001</v>
      </c>
      <c r="G5" s="3">
        <f t="shared" ref="G5:G18" si="2">F5*0.001</f>
        <v>334695.18100400001</v>
      </c>
      <c r="H5" s="3">
        <f t="shared" ref="H5:H18" si="3">F5*0.88545709</f>
        <v>296358221.00882512</v>
      </c>
      <c r="I5" s="4">
        <f t="shared" ref="I5:I18" si="4">H5/1200</f>
        <v>246965.18417402095</v>
      </c>
      <c r="J5" s="4">
        <v>92</v>
      </c>
      <c r="K5" s="4">
        <f t="shared" ref="K5:K18" si="5">G5/J5</f>
        <v>3637.9910978695652</v>
      </c>
      <c r="L5" s="6">
        <v>4347.0327173913001</v>
      </c>
      <c r="M5" s="3">
        <v>14538.98</v>
      </c>
      <c r="N5" s="22">
        <f t="shared" ref="N5:N6" si="6">M5*4046.86</f>
        <v>58837216.602799997</v>
      </c>
      <c r="O5" s="3">
        <v>606006083.69500005</v>
      </c>
      <c r="P5" s="3">
        <f t="shared" ref="P5:P18" si="7">O5*0.001</f>
        <v>606006.08369500004</v>
      </c>
      <c r="Q5" s="4">
        <f t="shared" ref="Q5:Q18" si="8">O5/1200</f>
        <v>505005.0697458334</v>
      </c>
      <c r="R5" s="4">
        <v>183</v>
      </c>
      <c r="S5" s="22">
        <f t="shared" ref="S5:S18" si="9">P5/R5</f>
        <v>3311.5086540710386</v>
      </c>
      <c r="T5" s="3">
        <v>645879219.01199996</v>
      </c>
      <c r="U5" s="3">
        <f t="shared" ref="U5:U18" si="10">T5*0.001</f>
        <v>645879.21901200002</v>
      </c>
      <c r="V5" s="4">
        <f t="shared" ref="V5:V18" si="11">T5*0.88545709</f>
        <v>571898333.75783813</v>
      </c>
      <c r="W5" s="4">
        <f t="shared" ref="W5:W18" si="12">V5/1200</f>
        <v>476581.94479819847</v>
      </c>
      <c r="X5" s="4">
        <v>91</v>
      </c>
      <c r="Y5" s="4">
        <f t="shared" ref="Y5:Y18" si="13">U5/X5</f>
        <v>7097.5738352967037</v>
      </c>
      <c r="Z5" s="6">
        <v>4345.0035164835099</v>
      </c>
      <c r="AA5" s="3">
        <v>14188.46</v>
      </c>
      <c r="AB5" s="22">
        <f t="shared" ref="AB5:AB6" si="14">AA5*4046.86</f>
        <v>57418711.235599995</v>
      </c>
      <c r="AC5" s="70">
        <f t="shared" ref="AC5:AC18" si="15">F5+O5+T5</f>
        <v>1586580483.711</v>
      </c>
      <c r="AD5" s="4">
        <v>366</v>
      </c>
      <c r="AE5" s="70">
        <f t="shared" ref="AE5:AE6" si="16">AC5/1200</f>
        <v>1322150.4030925001</v>
      </c>
      <c r="AF5" s="70">
        <f t="shared" ref="AF5:AF6" si="17">AE5*0.88545709</f>
        <v>1170707.448464612</v>
      </c>
      <c r="AG5" s="67">
        <f t="shared" ref="AG5:AG18" si="18">AF5/E5</f>
        <v>2.0655421607923632E-2</v>
      </c>
      <c r="AH5" s="69">
        <f>AG5*100</f>
        <v>2.0655421607923632</v>
      </c>
      <c r="AI5" s="67">
        <f t="shared" ref="AI5:AI18" si="19">(I5/N5)*100</f>
        <v>0.41974314631713588</v>
      </c>
      <c r="AJ5" s="69">
        <f t="shared" ref="AJ5:AJ6" si="20">(W5/AB5)*100</f>
        <v>0.83001156686135158</v>
      </c>
      <c r="AK5" s="4"/>
    </row>
    <row r="6" spans="1:37" ht="21">
      <c r="A6" s="4">
        <v>2009</v>
      </c>
      <c r="B6" s="3">
        <v>1324.5483999999999</v>
      </c>
      <c r="C6" s="67">
        <f t="shared" si="0"/>
        <v>4345.6313726559993</v>
      </c>
      <c r="D6" s="3">
        <v>14300.15</v>
      </c>
      <c r="E6" s="4">
        <f t="shared" si="1"/>
        <v>57870705.028999999</v>
      </c>
      <c r="F6" s="10">
        <v>658197118.01800001</v>
      </c>
      <c r="G6" s="3">
        <f t="shared" si="2"/>
        <v>658197.11801800004</v>
      </c>
      <c r="H6" s="3">
        <f t="shared" si="3"/>
        <v>582805304.76660478</v>
      </c>
      <c r="I6" s="4">
        <f t="shared" si="4"/>
        <v>485671.08730550396</v>
      </c>
      <c r="J6" s="4">
        <v>92</v>
      </c>
      <c r="K6" s="4">
        <f t="shared" si="5"/>
        <v>7154.3165001956522</v>
      </c>
      <c r="L6" s="6">
        <v>4341.8203260869504</v>
      </c>
      <c r="M6" s="3">
        <v>13590.51</v>
      </c>
      <c r="N6" s="22">
        <f t="shared" si="6"/>
        <v>54998891.298600003</v>
      </c>
      <c r="O6" s="3">
        <v>320190749.14700001</v>
      </c>
      <c r="P6" s="3">
        <f t="shared" si="7"/>
        <v>320190.74914700002</v>
      </c>
      <c r="Q6" s="4">
        <f t="shared" si="8"/>
        <v>266825.62428916671</v>
      </c>
      <c r="R6" s="4">
        <v>182</v>
      </c>
      <c r="S6" s="22">
        <f t="shared" si="9"/>
        <v>1759.2898304780222</v>
      </c>
      <c r="T6" s="3">
        <v>514091590.458</v>
      </c>
      <c r="U6" s="3">
        <f t="shared" si="10"/>
        <v>514091.59045800002</v>
      </c>
      <c r="V6" s="4">
        <f t="shared" si="11"/>
        <v>455206043.68041241</v>
      </c>
      <c r="W6" s="4">
        <f>V6/1200</f>
        <v>379338.36973367701</v>
      </c>
      <c r="X6" s="4">
        <v>91</v>
      </c>
      <c r="Y6" s="4">
        <f t="shared" si="13"/>
        <v>5649.358136901099</v>
      </c>
      <c r="Z6" s="6">
        <v>4349.78208791208</v>
      </c>
      <c r="AA6" s="3">
        <v>14978.72</v>
      </c>
      <c r="AB6" s="22">
        <f t="shared" si="14"/>
        <v>60616782.819200002</v>
      </c>
      <c r="AC6" s="70">
        <f t="shared" si="15"/>
        <v>1492479457.6229999</v>
      </c>
      <c r="AD6" s="4">
        <v>365</v>
      </c>
      <c r="AE6" s="70">
        <f t="shared" si="16"/>
        <v>1243732.8813524998</v>
      </c>
      <c r="AF6" s="70">
        <f t="shared" si="17"/>
        <v>1101272.0978596997</v>
      </c>
      <c r="AG6" s="67">
        <f t="shared" si="18"/>
        <v>1.9029871803148649E-2</v>
      </c>
      <c r="AH6" s="69">
        <f>AG6*100</f>
        <v>1.9029871803148648</v>
      </c>
      <c r="AI6" s="67">
        <f t="shared" si="19"/>
        <v>0.88305614138419319</v>
      </c>
      <c r="AJ6" s="69">
        <f t="shared" si="20"/>
        <v>0.62579759612963803</v>
      </c>
      <c r="AK6" s="4"/>
    </row>
    <row r="7" spans="1:37" ht="21">
      <c r="A7" s="3">
        <v>2010</v>
      </c>
      <c r="B7" s="3">
        <v>1322.4516000000001</v>
      </c>
      <c r="C7" s="6">
        <f>B7*3.28084</f>
        <v>4338.7521073440003</v>
      </c>
      <c r="D7" s="3">
        <v>12923.02</v>
      </c>
      <c r="E7" s="3">
        <f>D7*4046.86</f>
        <v>52297652.717200004</v>
      </c>
      <c r="F7" s="10">
        <v>312991095.49900001</v>
      </c>
      <c r="G7" s="3">
        <f t="shared" si="2"/>
        <v>312991.09549900005</v>
      </c>
      <c r="H7" s="3">
        <f t="shared" si="3"/>
        <v>277140184.61645663</v>
      </c>
      <c r="I7" s="4">
        <f t="shared" si="4"/>
        <v>230950.15384704719</v>
      </c>
      <c r="J7" s="3">
        <v>92</v>
      </c>
      <c r="K7" s="4">
        <f t="shared" si="5"/>
        <v>3402.0771249891309</v>
      </c>
      <c r="L7" s="6">
        <v>4334.2764430446432</v>
      </c>
      <c r="M7" s="3">
        <v>11774.06</v>
      </c>
      <c r="N7" s="11">
        <f>M7*4046.86</f>
        <v>47647972.4516</v>
      </c>
      <c r="O7" s="3">
        <v>328123761.833</v>
      </c>
      <c r="P7" s="3">
        <f t="shared" si="7"/>
        <v>328123.761833</v>
      </c>
      <c r="Q7" s="4">
        <f t="shared" si="8"/>
        <v>273436.46819416666</v>
      </c>
      <c r="R7" s="3">
        <v>182</v>
      </c>
      <c r="S7" s="22">
        <f t="shared" si="9"/>
        <v>1802.8778122692308</v>
      </c>
      <c r="T7" s="3">
        <v>681702908.62399995</v>
      </c>
      <c r="U7" s="3">
        <f t="shared" si="10"/>
        <v>681702.90862399992</v>
      </c>
      <c r="V7" s="4">
        <f t="shared" si="11"/>
        <v>603618673.7147429</v>
      </c>
      <c r="W7" s="4">
        <f>V7/1200</f>
        <v>503015.56142895244</v>
      </c>
      <c r="X7" s="3">
        <v>91</v>
      </c>
      <c r="Y7" s="4">
        <f t="shared" si="13"/>
        <v>7491.2407541098892</v>
      </c>
      <c r="Z7" s="6">
        <v>4344.8271720014927</v>
      </c>
      <c r="AA7" s="3">
        <v>14158.33</v>
      </c>
      <c r="AB7" s="11">
        <f>AA7*4046.86</f>
        <v>57296779.343800001</v>
      </c>
      <c r="AC7" s="2">
        <f t="shared" si="15"/>
        <v>1322817765.9559999</v>
      </c>
      <c r="AD7" s="3">
        <f t="shared" ref="AD7:AD18" si="21">J7+R7+X7</f>
        <v>365</v>
      </c>
      <c r="AE7" s="2">
        <f>AC7/1200</f>
        <v>1102348.1382966666</v>
      </c>
      <c r="AF7" s="2">
        <f>AE7*0.88545709</f>
        <v>976081.97470308386</v>
      </c>
      <c r="AG7" s="6">
        <f t="shared" si="18"/>
        <v>1.8663972931658241E-2</v>
      </c>
      <c r="AH7" s="23">
        <f>AG7*100</f>
        <v>1.8663972931658241</v>
      </c>
      <c r="AI7" s="67">
        <f t="shared" si="19"/>
        <v>0.48470090533577775</v>
      </c>
      <c r="AJ7" s="23">
        <f>(W7/AB7)*100</f>
        <v>0.87791245370126192</v>
      </c>
      <c r="AK7" s="6"/>
    </row>
    <row r="8" spans="1:37" ht="21">
      <c r="A8" s="3">
        <v>2011</v>
      </c>
      <c r="B8" s="3">
        <v>1318.0598</v>
      </c>
      <c r="C8" s="6">
        <f t="shared" ref="C8:C18" si="22">B8*3.28084</f>
        <v>4324.343314232</v>
      </c>
      <c r="D8" s="3">
        <v>9783.07</v>
      </c>
      <c r="E8" s="3">
        <f t="shared" ref="E8:E18" si="23">D8*4046.86</f>
        <v>39590714.6602</v>
      </c>
      <c r="F8" s="10">
        <v>488731369.176</v>
      </c>
      <c r="G8" s="3">
        <f t="shared" si="2"/>
        <v>488731.36917600001</v>
      </c>
      <c r="H8" s="3">
        <f t="shared" si="3"/>
        <v>432750655.94229662</v>
      </c>
      <c r="I8" s="4">
        <f t="shared" si="4"/>
        <v>360625.54661858053</v>
      </c>
      <c r="J8" s="3">
        <v>92</v>
      </c>
      <c r="K8" s="4">
        <f t="shared" si="5"/>
        <v>5312.2974910434787</v>
      </c>
      <c r="L8" s="6">
        <v>4313.8083989114175</v>
      </c>
      <c r="M8" s="3">
        <v>7805.04</v>
      </c>
      <c r="N8" s="11">
        <f t="shared" ref="N8:N18" si="24">M8*4046.86</f>
        <v>31585904.174400002</v>
      </c>
      <c r="O8" s="3">
        <v>434431974.10699999</v>
      </c>
      <c r="P8" s="3">
        <f t="shared" si="7"/>
        <v>434431.97410699999</v>
      </c>
      <c r="Q8" s="4">
        <f t="shared" si="8"/>
        <v>362026.64508916665</v>
      </c>
      <c r="R8" s="3">
        <v>182</v>
      </c>
      <c r="S8" s="22">
        <f t="shared" si="9"/>
        <v>2386.9888687197799</v>
      </c>
      <c r="T8" s="3">
        <v>13470422.736400001</v>
      </c>
      <c r="U8" s="3">
        <f t="shared" si="10"/>
        <v>13470.422736400002</v>
      </c>
      <c r="V8" s="4">
        <f t="shared" si="11"/>
        <v>11927481.317242581</v>
      </c>
      <c r="W8" s="4">
        <f t="shared" si="12"/>
        <v>9939.5677643688177</v>
      </c>
      <c r="X8" s="3">
        <v>91</v>
      </c>
      <c r="Y8" s="4">
        <f t="shared" si="13"/>
        <v>148.02662347692311</v>
      </c>
      <c r="Z8" s="6">
        <v>4329.790578113727</v>
      </c>
      <c r="AA8" s="3">
        <v>10933</v>
      </c>
      <c r="AB8" s="11">
        <f t="shared" ref="AB8:AB18" si="25">AA8*4046.86</f>
        <v>44244320.380000003</v>
      </c>
      <c r="AC8" s="2">
        <f t="shared" si="15"/>
        <v>936633766.0194</v>
      </c>
      <c r="AD8" s="3">
        <f t="shared" si="21"/>
        <v>365</v>
      </c>
      <c r="AE8" s="2">
        <f t="shared" ref="AE8:AE18" si="26">AC8/1200</f>
        <v>780528.13834950002</v>
      </c>
      <c r="AF8" s="2">
        <f t="shared" ref="AF8:AF18" si="27">AE8*0.88545709</f>
        <v>691124.17404606566</v>
      </c>
      <c r="AG8" s="6">
        <f t="shared" si="18"/>
        <v>1.7456723880280019E-2</v>
      </c>
      <c r="AH8" s="23">
        <f t="shared" ref="AH8:AH18" si="28">AG8*100</f>
        <v>1.7456723880280018</v>
      </c>
      <c r="AI8" s="67">
        <f t="shared" si="19"/>
        <v>1.1417293759501215</v>
      </c>
      <c r="AJ8" s="23">
        <f t="shared" ref="AJ8:AJ18" si="29">(W8/AB8)*100</f>
        <v>2.2465183506043533E-2</v>
      </c>
      <c r="AK8" s="6"/>
    </row>
    <row r="9" spans="1:37" ht="21">
      <c r="A9" s="3">
        <v>2012</v>
      </c>
      <c r="B9" s="3">
        <v>1315.2190000000001</v>
      </c>
      <c r="C9" s="6">
        <f t="shared" si="22"/>
        <v>4315.0231039600003</v>
      </c>
      <c r="D9" s="3">
        <v>8032.96</v>
      </c>
      <c r="E9" s="3">
        <f t="shared" si="23"/>
        <v>32508264.505600002</v>
      </c>
      <c r="F9" s="10">
        <v>217213764.45100001</v>
      </c>
      <c r="G9" s="3">
        <f t="shared" si="2"/>
        <v>217213.764451</v>
      </c>
      <c r="H9" s="3">
        <f t="shared" si="3"/>
        <v>192333467.77872789</v>
      </c>
      <c r="I9" s="4">
        <f t="shared" si="4"/>
        <v>160277.88981560658</v>
      </c>
      <c r="J9" s="3">
        <v>92</v>
      </c>
      <c r="K9" s="4">
        <f t="shared" si="5"/>
        <v>2361.0191788152174</v>
      </c>
      <c r="L9" s="6">
        <v>4304.5087247007714</v>
      </c>
      <c r="M9" s="3">
        <v>6222.74</v>
      </c>
      <c r="N9" s="11">
        <f t="shared" si="24"/>
        <v>25182557.5964</v>
      </c>
      <c r="O9" s="3">
        <v>384330122.64499998</v>
      </c>
      <c r="P9" s="3">
        <f t="shared" si="7"/>
        <v>384330.122645</v>
      </c>
      <c r="Q9" s="4">
        <f t="shared" si="8"/>
        <v>320275.10220416664</v>
      </c>
      <c r="R9" s="3">
        <v>183</v>
      </c>
      <c r="S9" s="22">
        <f t="shared" si="9"/>
        <v>2100.1646046174865</v>
      </c>
      <c r="T9" s="3">
        <v>144770339.72400001</v>
      </c>
      <c r="U9" s="3">
        <f t="shared" si="10"/>
        <v>144770.33972400002</v>
      </c>
      <c r="V9" s="4">
        <f t="shared" si="11"/>
        <v>128187923.73032445</v>
      </c>
      <c r="W9" s="4">
        <f t="shared" si="12"/>
        <v>106823.26977527037</v>
      </c>
      <c r="X9" s="3">
        <v>91</v>
      </c>
      <c r="Y9" s="4">
        <f t="shared" si="13"/>
        <v>1590.8828541098903</v>
      </c>
      <c r="Z9" s="6">
        <v>4328.4562923567255</v>
      </c>
      <c r="AA9" s="3">
        <v>10683.65</v>
      </c>
      <c r="AB9" s="11">
        <f t="shared" si="25"/>
        <v>43235235.839000002</v>
      </c>
      <c r="AC9" s="2">
        <f t="shared" si="15"/>
        <v>746314226.81999993</v>
      </c>
      <c r="AD9" s="3">
        <f t="shared" si="21"/>
        <v>366</v>
      </c>
      <c r="AE9" s="2">
        <f t="shared" si="26"/>
        <v>621928.52234999998</v>
      </c>
      <c r="AF9" s="2">
        <f t="shared" si="27"/>
        <v>550691.01958803087</v>
      </c>
      <c r="AG9" s="6">
        <f t="shared" si="18"/>
        <v>1.6940031341665954E-2</v>
      </c>
      <c r="AH9" s="23">
        <f t="shared" si="28"/>
        <v>1.6940031341665953</v>
      </c>
      <c r="AI9" s="67">
        <f t="shared" si="19"/>
        <v>0.63646390642433903</v>
      </c>
      <c r="AJ9" s="23">
        <f t="shared" si="29"/>
        <v>0.24707456245424544</v>
      </c>
      <c r="AK9" s="6"/>
    </row>
    <row r="10" spans="1:37" ht="21">
      <c r="A10" s="3">
        <v>2013</v>
      </c>
      <c r="B10" s="3">
        <v>1312.6593</v>
      </c>
      <c r="C10" s="6">
        <f t="shared" si="22"/>
        <v>4306.6251378120005</v>
      </c>
      <c r="D10" s="3">
        <v>6575.31</v>
      </c>
      <c r="E10" s="3">
        <f t="shared" si="23"/>
        <v>26609359.026600003</v>
      </c>
      <c r="F10" s="10">
        <v>2529454927.5</v>
      </c>
      <c r="G10" s="3">
        <f t="shared" si="2"/>
        <v>2529454.9275000002</v>
      </c>
      <c r="H10" s="3">
        <f t="shared" si="3"/>
        <v>2239723799.3903108</v>
      </c>
      <c r="I10" s="4">
        <f t="shared" si="4"/>
        <v>1866436.4994919256</v>
      </c>
      <c r="J10" s="3">
        <v>92</v>
      </c>
      <c r="K10" s="4">
        <f t="shared" si="5"/>
        <v>27494.075298913045</v>
      </c>
      <c r="L10" s="6">
        <v>4292.8303547618398</v>
      </c>
      <c r="M10" s="3">
        <v>4254.79</v>
      </c>
      <c r="N10" s="11">
        <f t="shared" si="24"/>
        <v>17218539.459400002</v>
      </c>
      <c r="O10" s="3">
        <v>307653275.15600002</v>
      </c>
      <c r="P10" s="3">
        <f t="shared" si="7"/>
        <v>307653.27515600005</v>
      </c>
      <c r="Q10" s="4">
        <f t="shared" si="8"/>
        <v>256377.72929666669</v>
      </c>
      <c r="R10" s="3">
        <v>182</v>
      </c>
      <c r="S10" s="22">
        <f t="shared" si="9"/>
        <v>1690.402610747253</v>
      </c>
      <c r="T10" s="3">
        <v>1809506.89001</v>
      </c>
      <c r="U10" s="3">
        <f t="shared" si="10"/>
        <v>1809.50689001</v>
      </c>
      <c r="V10" s="4">
        <f t="shared" si="11"/>
        <v>1602240.7051632046</v>
      </c>
      <c r="W10" s="4">
        <f t="shared" si="12"/>
        <v>1335.2005876360038</v>
      </c>
      <c r="X10" s="3">
        <v>91</v>
      </c>
      <c r="Y10" s="4">
        <f t="shared" si="13"/>
        <v>19.88469109901099</v>
      </c>
      <c r="Z10" s="6">
        <v>4310.1324456165239</v>
      </c>
      <c r="AA10" s="3">
        <v>7166.61</v>
      </c>
      <c r="AB10" s="11">
        <f t="shared" si="25"/>
        <v>29002267.344599999</v>
      </c>
      <c r="AC10" s="2">
        <f t="shared" si="15"/>
        <v>2838917709.54601</v>
      </c>
      <c r="AD10" s="3">
        <f t="shared" si="21"/>
        <v>365</v>
      </c>
      <c r="AE10" s="2">
        <f t="shared" si="26"/>
        <v>2365764.7579550082</v>
      </c>
      <c r="AF10" s="2">
        <f t="shared" si="27"/>
        <v>2094783.1782033958</v>
      </c>
      <c r="AG10" s="6">
        <f t="shared" si="18"/>
        <v>7.8723548962955067E-2</v>
      </c>
      <c r="AH10" s="23">
        <f t="shared" si="28"/>
        <v>7.8723548962955068</v>
      </c>
      <c r="AI10" s="67">
        <f t="shared" si="19"/>
        <v>10.839691159014038</v>
      </c>
      <c r="AJ10" s="23">
        <f t="shared" si="29"/>
        <v>4.6037800140636522E-3</v>
      </c>
      <c r="AK10" s="16"/>
    </row>
    <row r="11" spans="1:37" ht="21">
      <c r="A11" s="3">
        <v>2014</v>
      </c>
      <c r="B11" s="3">
        <v>1315.9371000000001</v>
      </c>
      <c r="C11" s="6">
        <f t="shared" si="22"/>
        <v>4317.3790751639999</v>
      </c>
      <c r="D11" s="3">
        <v>8485.94</v>
      </c>
      <c r="E11" s="3">
        <f t="shared" si="23"/>
        <v>34341411.148400001</v>
      </c>
      <c r="F11" s="10">
        <v>1828923264.3499999</v>
      </c>
      <c r="G11" s="3">
        <f t="shared" si="2"/>
        <v>1828923.2643499998</v>
      </c>
      <c r="H11" s="3">
        <f t="shared" si="3"/>
        <v>1619433071.4846516</v>
      </c>
      <c r="I11" s="4">
        <f t="shared" si="4"/>
        <v>1349527.559570543</v>
      </c>
      <c r="J11" s="3">
        <v>92</v>
      </c>
      <c r="K11" s="4">
        <f t="shared" si="5"/>
        <v>19879.600699456521</v>
      </c>
      <c r="L11" s="6">
        <v>4305.4670942966613</v>
      </c>
      <c r="M11" s="3">
        <v>6381.56</v>
      </c>
      <c r="N11" s="11">
        <f t="shared" si="24"/>
        <v>25825279.901600003</v>
      </c>
      <c r="O11" s="3">
        <v>687899288.56799996</v>
      </c>
      <c r="P11" s="3">
        <f t="shared" si="7"/>
        <v>687899.28856799996</v>
      </c>
      <c r="Q11" s="4">
        <f t="shared" si="8"/>
        <v>573249.40713999991</v>
      </c>
      <c r="R11" s="3">
        <v>182</v>
      </c>
      <c r="S11" s="22">
        <f t="shared" si="9"/>
        <v>3779.6664207032964</v>
      </c>
      <c r="T11" s="3">
        <v>47677663.434900001</v>
      </c>
      <c r="U11" s="3">
        <f t="shared" si="10"/>
        <v>47677.663434900001</v>
      </c>
      <c r="V11" s="4">
        <f t="shared" si="11"/>
        <v>42216525.123065956</v>
      </c>
      <c r="W11" s="4">
        <f t="shared" si="12"/>
        <v>35180.437602554965</v>
      </c>
      <c r="X11" s="3">
        <v>91</v>
      </c>
      <c r="Y11" s="4">
        <f t="shared" si="13"/>
        <v>523.93036741648348</v>
      </c>
      <c r="Z11" s="6">
        <v>4327.1111274785098</v>
      </c>
      <c r="AA11" s="3">
        <v>10388.19</v>
      </c>
      <c r="AB11" s="11">
        <f t="shared" si="25"/>
        <v>42039550.583400004</v>
      </c>
      <c r="AC11" s="2">
        <f t="shared" si="15"/>
        <v>2564500216.3528996</v>
      </c>
      <c r="AD11" s="3">
        <f t="shared" si="21"/>
        <v>365</v>
      </c>
      <c r="AE11" s="2">
        <f t="shared" si="26"/>
        <v>2137083.5136274165</v>
      </c>
      <c r="AF11" s="2">
        <f t="shared" si="27"/>
        <v>1892295.7490635074</v>
      </c>
      <c r="AG11" s="6">
        <f t="shared" si="18"/>
        <v>5.5102445874641096E-2</v>
      </c>
      <c r="AH11" s="23">
        <f t="shared" si="28"/>
        <v>5.5102445874641095</v>
      </c>
      <c r="AI11" s="67">
        <f t="shared" si="19"/>
        <v>5.2256067106050343</v>
      </c>
      <c r="AJ11" s="23">
        <f t="shared" si="29"/>
        <v>8.3684142942399897E-2</v>
      </c>
      <c r="AK11" s="6"/>
    </row>
    <row r="12" spans="1:37" ht="21">
      <c r="A12" s="3">
        <v>2015</v>
      </c>
      <c r="B12" s="3">
        <v>1317.0588</v>
      </c>
      <c r="C12" s="6">
        <f t="shared" si="22"/>
        <v>4321.0591933920005</v>
      </c>
      <c r="D12" s="3">
        <v>9183.2999999999993</v>
      </c>
      <c r="E12" s="3">
        <f t="shared" si="23"/>
        <v>37163529.438000001</v>
      </c>
      <c r="F12" s="10">
        <v>1103771751.5</v>
      </c>
      <c r="G12" s="3">
        <f t="shared" si="2"/>
        <v>1103771.7515</v>
      </c>
      <c r="H12" s="3">
        <f t="shared" si="3"/>
        <v>977342523.10739303</v>
      </c>
      <c r="I12" s="4">
        <f t="shared" si="4"/>
        <v>814452.1025894942</v>
      </c>
      <c r="J12" s="3">
        <v>92</v>
      </c>
      <c r="K12" s="4">
        <f t="shared" si="5"/>
        <v>11997.519038043478</v>
      </c>
      <c r="L12" s="6">
        <v>4316.1005728977925</v>
      </c>
      <c r="M12" s="3">
        <v>8236.81</v>
      </c>
      <c r="N12" s="11">
        <f t="shared" si="24"/>
        <v>33333216.9166</v>
      </c>
      <c r="O12" s="3">
        <v>874231215.773</v>
      </c>
      <c r="P12" s="3">
        <f t="shared" si="7"/>
        <v>874231.21577300003</v>
      </c>
      <c r="Q12" s="4">
        <f t="shared" si="8"/>
        <v>728526.01314416667</v>
      </c>
      <c r="R12" s="3">
        <v>182</v>
      </c>
      <c r="S12" s="22">
        <f t="shared" si="9"/>
        <v>4803.4682185329675</v>
      </c>
      <c r="T12" s="3">
        <v>480050119.62</v>
      </c>
      <c r="U12" s="3">
        <f t="shared" si="10"/>
        <v>480050.11962000001</v>
      </c>
      <c r="V12" s="4">
        <f t="shared" si="11"/>
        <v>425063781.97287709</v>
      </c>
      <c r="W12" s="4">
        <f t="shared" si="12"/>
        <v>354219.81831073092</v>
      </c>
      <c r="X12" s="3">
        <v>91</v>
      </c>
      <c r="Y12" s="4">
        <f t="shared" si="13"/>
        <v>5275.2760397802203</v>
      </c>
      <c r="Z12" s="6">
        <v>4331.0276111203402</v>
      </c>
      <c r="AA12" s="3">
        <v>11169.48</v>
      </c>
      <c r="AB12" s="11">
        <f t="shared" si="25"/>
        <v>45201321.832800001</v>
      </c>
      <c r="AC12" s="2">
        <f t="shared" si="15"/>
        <v>2458053086.8930001</v>
      </c>
      <c r="AD12" s="3">
        <f t="shared" si="21"/>
        <v>365</v>
      </c>
      <c r="AE12" s="2">
        <f t="shared" si="26"/>
        <v>2048377.5724108333</v>
      </c>
      <c r="AF12" s="2">
        <f t="shared" si="27"/>
        <v>1813750.4444881605</v>
      </c>
      <c r="AG12" s="6">
        <f t="shared" si="18"/>
        <v>4.8804579971717825E-2</v>
      </c>
      <c r="AH12" s="23">
        <f t="shared" si="28"/>
        <v>4.8804579971717823</v>
      </c>
      <c r="AI12" s="67">
        <f t="shared" si="19"/>
        <v>2.4433648412250775</v>
      </c>
      <c r="AJ12" s="23">
        <f t="shared" si="29"/>
        <v>0.78364924729633445</v>
      </c>
      <c r="AK12" s="6"/>
    </row>
    <row r="13" spans="1:37" ht="21">
      <c r="A13" s="3">
        <v>2016</v>
      </c>
      <c r="B13" s="3">
        <v>1315.4335000000001</v>
      </c>
      <c r="C13" s="6">
        <f t="shared" si="22"/>
        <v>4315.7268441400001</v>
      </c>
      <c r="D13" s="3">
        <v>8166.48</v>
      </c>
      <c r="E13" s="3">
        <f t="shared" si="23"/>
        <v>33048601.252799999</v>
      </c>
      <c r="F13" s="10">
        <v>701117241.80299997</v>
      </c>
      <c r="G13" s="3">
        <f t="shared" si="2"/>
        <v>701117.24180299998</v>
      </c>
      <c r="H13" s="3">
        <f t="shared" si="3"/>
        <v>620809232.67571068</v>
      </c>
      <c r="I13" s="4">
        <f t="shared" si="4"/>
        <v>517341.02722975891</v>
      </c>
      <c r="J13" s="3">
        <v>92</v>
      </c>
      <c r="K13" s="4">
        <f t="shared" si="5"/>
        <v>7620.8395848152168</v>
      </c>
      <c r="L13" s="6">
        <v>4307.5079639271926</v>
      </c>
      <c r="M13" s="3">
        <v>6723.46</v>
      </c>
      <c r="N13" s="11">
        <f t="shared" si="24"/>
        <v>27208901.3356</v>
      </c>
      <c r="O13" s="3">
        <v>904733704.66499996</v>
      </c>
      <c r="P13" s="3">
        <f t="shared" si="7"/>
        <v>904733.70466499997</v>
      </c>
      <c r="Q13" s="4">
        <f t="shared" si="8"/>
        <v>753944.75388749992</v>
      </c>
      <c r="R13" s="3">
        <v>182</v>
      </c>
      <c r="S13" s="22">
        <f t="shared" si="9"/>
        <v>4971.0643113461538</v>
      </c>
      <c r="T13" s="3">
        <v>102125410.418</v>
      </c>
      <c r="U13" s="3">
        <f t="shared" si="10"/>
        <v>102125.410418</v>
      </c>
      <c r="V13" s="4">
        <f t="shared" si="11"/>
        <v>90427668.72377795</v>
      </c>
      <c r="W13" s="4">
        <f t="shared" si="12"/>
        <v>75356.390603148291</v>
      </c>
      <c r="X13" s="3">
        <v>91</v>
      </c>
      <c r="Y13" s="4">
        <f t="shared" si="13"/>
        <v>1122.2572573406594</v>
      </c>
      <c r="Z13" s="6">
        <v>4326.1812373388775</v>
      </c>
      <c r="AA13" s="3">
        <v>10169.58</v>
      </c>
      <c r="AB13" s="11">
        <f t="shared" si="25"/>
        <v>41154866.518799998</v>
      </c>
      <c r="AC13" s="2">
        <f t="shared" si="15"/>
        <v>1707976356.8859999</v>
      </c>
      <c r="AD13" s="3">
        <f t="shared" si="21"/>
        <v>365</v>
      </c>
      <c r="AE13" s="2">
        <f t="shared" si="26"/>
        <v>1423313.6307383333</v>
      </c>
      <c r="AF13" s="2">
        <f t="shared" si="27"/>
        <v>1260283.1456308991</v>
      </c>
      <c r="AG13" s="6">
        <f t="shared" si="18"/>
        <v>3.8134235575979884E-2</v>
      </c>
      <c r="AH13" s="23">
        <f t="shared" si="28"/>
        <v>3.8134235575979885</v>
      </c>
      <c r="AI13" s="67">
        <f t="shared" si="19"/>
        <v>1.9013668389207334</v>
      </c>
      <c r="AJ13" s="23">
        <f t="shared" si="29"/>
        <v>0.1831044466362797</v>
      </c>
      <c r="AK13" s="6"/>
    </row>
    <row r="14" spans="1:37" ht="21">
      <c r="A14" s="3">
        <v>2017</v>
      </c>
      <c r="B14" s="3">
        <v>1318.7040999999999</v>
      </c>
      <c r="C14" s="6">
        <f t="shared" si="22"/>
        <v>4326.4571594439994</v>
      </c>
      <c r="D14" s="3">
        <v>10235.4</v>
      </c>
      <c r="E14" s="3">
        <f t="shared" si="23"/>
        <v>41421230.843999997</v>
      </c>
      <c r="F14" s="10">
        <v>201293371.498</v>
      </c>
      <c r="G14" s="3">
        <f t="shared" si="2"/>
        <v>201293.37149799999</v>
      </c>
      <c r="H14" s="3">
        <f t="shared" si="3"/>
        <v>178236642.962908</v>
      </c>
      <c r="I14" s="4">
        <f t="shared" si="4"/>
        <v>148530.53580242334</v>
      </c>
      <c r="J14" s="3">
        <v>92</v>
      </c>
      <c r="K14" s="4">
        <f t="shared" si="5"/>
        <v>2187.9714293260868</v>
      </c>
      <c r="L14" s="6">
        <v>4325.6662253778104</v>
      </c>
      <c r="M14" s="3">
        <v>10058.82</v>
      </c>
      <c r="N14" s="11">
        <f t="shared" si="24"/>
        <v>40706636.305200003</v>
      </c>
      <c r="O14" s="3">
        <v>1405858686.48</v>
      </c>
      <c r="P14" s="3">
        <f t="shared" si="7"/>
        <v>1405858.6864800001</v>
      </c>
      <c r="Q14" s="4">
        <f t="shared" si="8"/>
        <v>1171548.9054</v>
      </c>
      <c r="R14" s="3">
        <v>182</v>
      </c>
      <c r="S14" s="22">
        <f t="shared" si="9"/>
        <v>7724.498277362638</v>
      </c>
      <c r="T14" s="3">
        <v>575879940.375</v>
      </c>
      <c r="U14" s="3">
        <f t="shared" si="10"/>
        <v>575879.94037500001</v>
      </c>
      <c r="V14" s="4">
        <f t="shared" si="11"/>
        <v>509916976.19382095</v>
      </c>
      <c r="W14" s="4">
        <f t="shared" si="12"/>
        <v>424930.81349485082</v>
      </c>
      <c r="X14" s="3">
        <v>91</v>
      </c>
      <c r="Y14" s="4">
        <f t="shared" si="13"/>
        <v>6328.3509931318686</v>
      </c>
      <c r="Z14" s="6">
        <v>4335.2829958718994</v>
      </c>
      <c r="AA14" s="3">
        <v>12050.99</v>
      </c>
      <c r="AB14" s="11">
        <f t="shared" si="25"/>
        <v>48768669.391400002</v>
      </c>
      <c r="AC14" s="2">
        <f t="shared" si="15"/>
        <v>2183031998.3529997</v>
      </c>
      <c r="AD14" s="3">
        <f t="shared" si="21"/>
        <v>365</v>
      </c>
      <c r="AE14" s="2">
        <f t="shared" si="26"/>
        <v>1819193.3319608332</v>
      </c>
      <c r="AF14" s="2">
        <f t="shared" si="27"/>
        <v>1610817.6338654433</v>
      </c>
      <c r="AG14" s="6">
        <f t="shared" si="18"/>
        <v>3.8888695508158121E-2</v>
      </c>
      <c r="AH14" s="23">
        <f t="shared" si="28"/>
        <v>3.8888695508158122</v>
      </c>
      <c r="AI14" s="67">
        <f t="shared" si="19"/>
        <v>0.36488039613199275</v>
      </c>
      <c r="AJ14" s="23">
        <f t="shared" si="29"/>
        <v>0.87131926869791587</v>
      </c>
      <c r="AK14" s="6"/>
    </row>
    <row r="15" spans="1:37" ht="21">
      <c r="A15" s="3">
        <v>2018</v>
      </c>
      <c r="B15" s="3">
        <v>1314.7442000000001</v>
      </c>
      <c r="C15" s="6">
        <f t="shared" si="22"/>
        <v>4313.465361128</v>
      </c>
      <c r="D15" s="3">
        <v>7740.47</v>
      </c>
      <c r="E15" s="3">
        <f t="shared" si="23"/>
        <v>31324598.424200002</v>
      </c>
      <c r="F15" s="10">
        <v>357488432.45999998</v>
      </c>
      <c r="G15" s="3">
        <f t="shared" si="2"/>
        <v>357488.43245999998</v>
      </c>
      <c r="H15" s="3">
        <f t="shared" si="3"/>
        <v>316540667.11469311</v>
      </c>
      <c r="I15" s="4">
        <f t="shared" si="4"/>
        <v>263783.88926224428</v>
      </c>
      <c r="J15" s="3">
        <v>92</v>
      </c>
      <c r="K15" s="4">
        <f t="shared" si="5"/>
        <v>3885.7438310869561</v>
      </c>
      <c r="L15" s="6">
        <v>4297.5683983917379</v>
      </c>
      <c r="M15" s="3">
        <v>4978.6400000000003</v>
      </c>
      <c r="N15" s="11">
        <f t="shared" si="24"/>
        <v>20147859.070400003</v>
      </c>
      <c r="O15" s="3">
        <v>81495649.3222</v>
      </c>
      <c r="P15" s="3">
        <f t="shared" si="7"/>
        <v>81495.649322199999</v>
      </c>
      <c r="Q15" s="4">
        <f t="shared" si="8"/>
        <v>67913.04110183334</v>
      </c>
      <c r="R15" s="3">
        <v>182</v>
      </c>
      <c r="S15" s="22">
        <f t="shared" si="9"/>
        <v>447.77829297912086</v>
      </c>
      <c r="T15" s="3">
        <v>1182261.2447299999</v>
      </c>
      <c r="U15" s="3">
        <f t="shared" si="10"/>
        <v>1182.26124473</v>
      </c>
      <c r="V15" s="4">
        <f t="shared" si="11"/>
        <v>1046841.6013784035</v>
      </c>
      <c r="W15" s="4">
        <f t="shared" si="12"/>
        <v>872.36800114866958</v>
      </c>
      <c r="X15" s="3">
        <v>91</v>
      </c>
      <c r="Y15" s="4">
        <f t="shared" si="13"/>
        <v>12.99188181021978</v>
      </c>
      <c r="Z15" s="6">
        <v>4328.1647538858806</v>
      </c>
      <c r="AA15" s="3">
        <v>10627.41</v>
      </c>
      <c r="AB15" s="11">
        <f t="shared" si="25"/>
        <v>43007640.432599999</v>
      </c>
      <c r="AC15" s="2">
        <f t="shared" si="15"/>
        <v>440166343.02692997</v>
      </c>
      <c r="AD15" s="3">
        <f t="shared" si="21"/>
        <v>365</v>
      </c>
      <c r="AE15" s="2">
        <f t="shared" si="26"/>
        <v>366805.285855775</v>
      </c>
      <c r="AF15" s="2">
        <f t="shared" si="27"/>
        <v>324790.34101047268</v>
      </c>
      <c r="AG15" s="6">
        <f t="shared" si="18"/>
        <v>1.036853965730504E-2</v>
      </c>
      <c r="AH15" s="23">
        <f t="shared" si="28"/>
        <v>1.036853965730504</v>
      </c>
      <c r="AI15" s="67">
        <f t="shared" si="19"/>
        <v>1.3092402936735812</v>
      </c>
      <c r="AJ15" s="23">
        <f t="shared" si="29"/>
        <v>2.0284023777491647E-3</v>
      </c>
      <c r="AK15" s="16"/>
    </row>
    <row r="16" spans="1:37" ht="21">
      <c r="A16" s="3">
        <v>2019</v>
      </c>
      <c r="B16" s="3">
        <v>1319.5111999999999</v>
      </c>
      <c r="C16" s="6">
        <f t="shared" si="22"/>
        <v>4329.1051254079994</v>
      </c>
      <c r="D16" s="3">
        <v>10805.51</v>
      </c>
      <c r="E16" s="3">
        <f t="shared" si="23"/>
        <v>43728386.198600002</v>
      </c>
      <c r="F16" s="10">
        <v>78784382.696700007</v>
      </c>
      <c r="G16" s="3">
        <f t="shared" si="2"/>
        <v>78784.382696700006</v>
      </c>
      <c r="H16" s="3">
        <f t="shared" si="3"/>
        <v>69760190.240066335</v>
      </c>
      <c r="I16" s="4">
        <f t="shared" si="4"/>
        <v>58133.491866721946</v>
      </c>
      <c r="J16" s="3">
        <v>92</v>
      </c>
      <c r="K16" s="4">
        <f t="shared" si="5"/>
        <v>856.35198583369572</v>
      </c>
      <c r="L16" s="6">
        <v>4340.7653562957603</v>
      </c>
      <c r="M16" s="3">
        <v>13376.12</v>
      </c>
      <c r="N16" s="11">
        <f t="shared" si="24"/>
        <v>54131284.983200006</v>
      </c>
      <c r="O16" s="3">
        <v>174493502.528</v>
      </c>
      <c r="P16" s="3">
        <f t="shared" si="7"/>
        <v>174493.50252800001</v>
      </c>
      <c r="Q16" s="4">
        <f t="shared" si="8"/>
        <v>145411.25210666665</v>
      </c>
      <c r="R16" s="3">
        <v>182</v>
      </c>
      <c r="S16" s="22">
        <f t="shared" si="9"/>
        <v>958.75550839560447</v>
      </c>
      <c r="T16" s="3">
        <v>213774445.81600001</v>
      </c>
      <c r="U16" s="3">
        <f t="shared" si="10"/>
        <v>213774.44581600002</v>
      </c>
      <c r="V16" s="4">
        <f t="shared" si="11"/>
        <v>189288098.70859805</v>
      </c>
      <c r="W16" s="4">
        <f t="shared" si="12"/>
        <v>157740.08225716505</v>
      </c>
      <c r="X16" s="3">
        <v>91</v>
      </c>
      <c r="Y16" s="4">
        <f t="shared" si="13"/>
        <v>2349.1697342417583</v>
      </c>
      <c r="Z16" s="6">
        <v>4331.0267319994455</v>
      </c>
      <c r="AA16" s="3">
        <v>11169.48</v>
      </c>
      <c r="AB16" s="11">
        <f t="shared" si="25"/>
        <v>45201321.832800001</v>
      </c>
      <c r="AC16" s="2">
        <f t="shared" si="15"/>
        <v>467052331.04070002</v>
      </c>
      <c r="AD16" s="3">
        <f t="shared" si="21"/>
        <v>365</v>
      </c>
      <c r="AE16" s="2">
        <f t="shared" si="26"/>
        <v>389210.27586724999</v>
      </c>
      <c r="AF16" s="2">
        <f t="shared" si="27"/>
        <v>344628.99826751236</v>
      </c>
      <c r="AG16" s="6">
        <f t="shared" si="18"/>
        <v>7.8811277576611299E-3</v>
      </c>
      <c r="AH16" s="23">
        <f t="shared" si="28"/>
        <v>0.78811277576611305</v>
      </c>
      <c r="AI16" s="67">
        <f t="shared" si="19"/>
        <v>0.10739351908007366</v>
      </c>
      <c r="AJ16" s="23">
        <f t="shared" si="29"/>
        <v>0.34897227749366866</v>
      </c>
      <c r="AK16" s="6"/>
    </row>
    <row r="17" spans="1:37" ht="21">
      <c r="A17" s="3">
        <v>2020</v>
      </c>
      <c r="B17" s="3">
        <v>1317.1778999999999</v>
      </c>
      <c r="C17" s="6">
        <f t="shared" si="22"/>
        <v>4321.4499414359998</v>
      </c>
      <c r="D17" s="3">
        <v>9252.2999999999993</v>
      </c>
      <c r="E17" s="3">
        <f t="shared" si="23"/>
        <v>37442762.777999997</v>
      </c>
      <c r="F17" s="10">
        <v>288192729.98900002</v>
      </c>
      <c r="G17" s="3">
        <f t="shared" si="2"/>
        <v>288192.72998900001</v>
      </c>
      <c r="H17" s="3">
        <f t="shared" si="3"/>
        <v>255182296.05521569</v>
      </c>
      <c r="I17" s="4">
        <f t="shared" si="4"/>
        <v>212651.9133793464</v>
      </c>
      <c r="J17" s="3">
        <v>92</v>
      </c>
      <c r="K17" s="4">
        <f t="shared" si="5"/>
        <v>3132.5296737934782</v>
      </c>
      <c r="L17" s="6">
        <v>4305.1964015025342</v>
      </c>
      <c r="M17" s="3">
        <v>6336.89</v>
      </c>
      <c r="N17" s="11">
        <f t="shared" si="24"/>
        <v>25644506.665400002</v>
      </c>
      <c r="O17" s="3">
        <v>73264599.245900005</v>
      </c>
      <c r="P17" s="3">
        <f t="shared" si="7"/>
        <v>73264.599245900012</v>
      </c>
      <c r="Q17" s="4">
        <f t="shared" si="8"/>
        <v>61053.832704916669</v>
      </c>
      <c r="R17" s="3">
        <v>183</v>
      </c>
      <c r="S17" s="22">
        <f t="shared" si="9"/>
        <v>400.3530013437159</v>
      </c>
      <c r="T17" s="3">
        <v>2567940.5147500001</v>
      </c>
      <c r="U17" s="3">
        <f t="shared" si="10"/>
        <v>2567.9405147500001</v>
      </c>
      <c r="V17" s="4">
        <f t="shared" si="11"/>
        <v>2273801.135483637</v>
      </c>
      <c r="W17" s="4">
        <f t="shared" si="12"/>
        <v>1894.8342795696974</v>
      </c>
      <c r="X17" s="3">
        <v>91</v>
      </c>
      <c r="Y17" s="4">
        <f t="shared" si="13"/>
        <v>28.219126535714288</v>
      </c>
      <c r="Z17" s="6">
        <v>4336.9361827379898</v>
      </c>
      <c r="AA17" s="3">
        <v>12483.08</v>
      </c>
      <c r="AB17" s="11">
        <f t="shared" si="25"/>
        <v>50517277.128800005</v>
      </c>
      <c r="AC17" s="2">
        <f t="shared" si="15"/>
        <v>364025269.74965</v>
      </c>
      <c r="AD17" s="3">
        <f t="shared" si="21"/>
        <v>366</v>
      </c>
      <c r="AE17" s="2">
        <f t="shared" si="26"/>
        <v>303354.39145804167</v>
      </c>
      <c r="AF17" s="2">
        <f t="shared" si="27"/>
        <v>268607.29669915844</v>
      </c>
      <c r="AG17" s="6">
        <f t="shared" si="18"/>
        <v>7.1738108187086634E-3</v>
      </c>
      <c r="AH17" s="23">
        <f>AG17*100</f>
        <v>0.71738108187086636</v>
      </c>
      <c r="AI17" s="67">
        <f t="shared" si="19"/>
        <v>0.82922988597109537</v>
      </c>
      <c r="AJ17" s="23">
        <f t="shared" si="29"/>
        <v>3.7508638376106147E-3</v>
      </c>
      <c r="AK17" s="6"/>
    </row>
    <row r="18" spans="1:37" ht="21">
      <c r="A18" s="25">
        <v>2021</v>
      </c>
      <c r="B18" s="13">
        <v>1312.6522</v>
      </c>
      <c r="C18" s="14">
        <f t="shared" si="22"/>
        <v>4306.6018438479996</v>
      </c>
      <c r="D18" s="13">
        <v>6570.26</v>
      </c>
      <c r="E18" s="13">
        <f t="shared" si="23"/>
        <v>26588922.3836</v>
      </c>
      <c r="F18" s="12">
        <v>491648893.315</v>
      </c>
      <c r="G18" s="3">
        <f t="shared" si="2"/>
        <v>491648.89331499999</v>
      </c>
      <c r="H18" s="13">
        <f t="shared" si="3"/>
        <v>435333998.37642032</v>
      </c>
      <c r="I18" s="68">
        <f t="shared" si="4"/>
        <v>362778.33198035025</v>
      </c>
      <c r="J18" s="13">
        <v>92</v>
      </c>
      <c r="K18" s="68">
        <f t="shared" si="5"/>
        <v>5344.0097099456525</v>
      </c>
      <c r="L18" s="14">
        <v>4299.9493140689447</v>
      </c>
      <c r="M18" s="13">
        <v>5362.74</v>
      </c>
      <c r="N18" s="15">
        <f t="shared" si="24"/>
        <v>21702257.996399999</v>
      </c>
      <c r="O18" s="12">
        <v>105284227.543</v>
      </c>
      <c r="P18" s="13">
        <f t="shared" si="7"/>
        <v>105284.227543</v>
      </c>
      <c r="Q18" s="68">
        <f t="shared" si="8"/>
        <v>87736.856285833332</v>
      </c>
      <c r="R18" s="13">
        <v>90</v>
      </c>
      <c r="S18" s="89">
        <f t="shared" si="9"/>
        <v>1169.8247504777778</v>
      </c>
      <c r="T18" s="13">
        <v>79520381.643800005</v>
      </c>
      <c r="U18" s="3">
        <f t="shared" si="10"/>
        <v>79520.381643800007</v>
      </c>
      <c r="V18" s="68">
        <f t="shared" si="11"/>
        <v>70411885.726008564</v>
      </c>
      <c r="W18" s="68">
        <f t="shared" si="12"/>
        <v>58676.57143834047</v>
      </c>
      <c r="X18" s="13">
        <v>91</v>
      </c>
      <c r="Y18" s="68">
        <f t="shared" si="13"/>
        <v>873.85034773406596</v>
      </c>
      <c r="Z18" s="14">
        <v>4314.6529952117389</v>
      </c>
      <c r="AA18" s="13">
        <v>7963.38</v>
      </c>
      <c r="AB18" s="15">
        <f t="shared" si="25"/>
        <v>32226683.9868</v>
      </c>
      <c r="AC18" s="60">
        <f t="shared" si="15"/>
        <v>676453502.50180006</v>
      </c>
      <c r="AD18" s="13">
        <f t="shared" si="21"/>
        <v>273</v>
      </c>
      <c r="AE18" s="71">
        <f t="shared" si="26"/>
        <v>563711.25208483334</v>
      </c>
      <c r="AF18" s="71">
        <f t="shared" si="27"/>
        <v>499142.12487129291</v>
      </c>
      <c r="AG18" s="14">
        <f t="shared" si="18"/>
        <v>1.8772559401623697E-2</v>
      </c>
      <c r="AH18" s="20">
        <f t="shared" si="28"/>
        <v>1.8772559401623696</v>
      </c>
      <c r="AI18" s="72">
        <f t="shared" si="19"/>
        <v>1.6716156081110476</v>
      </c>
      <c r="AJ18" s="20">
        <f t="shared" si="29"/>
        <v>0.182074492871728</v>
      </c>
      <c r="AK18" s="6"/>
    </row>
    <row r="19" spans="1:37" ht="21">
      <c r="AE19" s="2"/>
      <c r="AF19" s="2"/>
      <c r="AG19" s="21" t="s">
        <v>73</v>
      </c>
      <c r="AH19" s="76">
        <f>AVERAGE(AH4:AH18)</f>
        <v>2.8094591888525331</v>
      </c>
      <c r="AI19" s="77">
        <f>AVERAGE(AI4:AI18)</f>
        <v>1.9305811746259436</v>
      </c>
      <c r="AJ19" s="78">
        <f>AVERAGE(AJ4:AJ18)</f>
        <v>0.3925563564800259</v>
      </c>
      <c r="AK19" s="5"/>
    </row>
    <row r="20" spans="1:37" ht="21">
      <c r="B20" s="8"/>
      <c r="C20" s="8"/>
      <c r="AG20" s="19" t="s">
        <v>36</v>
      </c>
      <c r="AH20" s="79">
        <f>STDEV(AH4:AH18)</f>
        <v>2.0108703385113325</v>
      </c>
      <c r="AI20" s="80">
        <f>STDEV(AI4:AI18)</f>
        <v>2.7673488286786179</v>
      </c>
      <c r="AJ20" s="81">
        <f>STDEV(AJ4:AJ18)</f>
        <v>0.36308557169242639</v>
      </c>
    </row>
    <row r="21" spans="1:37">
      <c r="B21" s="8"/>
      <c r="C21" s="8"/>
      <c r="AE21" s="5"/>
      <c r="AH21" s="82"/>
      <c r="AI21" s="82"/>
      <c r="AJ21" s="82"/>
    </row>
    <row r="22" spans="1:37" ht="44">
      <c r="B22" s="8"/>
      <c r="C22" s="8"/>
      <c r="AE22" s="9"/>
      <c r="AG22" s="44" t="s">
        <v>74</v>
      </c>
      <c r="AH22" s="83">
        <f>AVERAGE(AH4:AH13)</f>
        <v>3.3833414518442324</v>
      </c>
      <c r="AI22" s="84">
        <f>AVERAGE(AI4:AI13)</f>
        <v>2.4676357916421363</v>
      </c>
      <c r="AJ22" s="85">
        <f>AVERAGE(AJ4:AJ13)</f>
        <v>0.44802000419217158</v>
      </c>
    </row>
    <row r="23" spans="1:37" ht="21">
      <c r="B23" s="8"/>
      <c r="C23" s="8"/>
      <c r="AE23" s="9"/>
      <c r="AG23" s="60" t="s">
        <v>36</v>
      </c>
      <c r="AH23" s="86">
        <f>STDEV(AH4:AH13)</f>
        <v>2.0996849950956875</v>
      </c>
      <c r="AI23" s="87">
        <f>STDEV(AI4:AI13)</f>
        <v>3.2810781166247542</v>
      </c>
      <c r="AJ23" s="88">
        <f>STDEV(AJ4:AJ13)</f>
        <v>0.37055150849225449</v>
      </c>
    </row>
    <row r="24" spans="1:37">
      <c r="B24" s="8"/>
      <c r="C24" s="8"/>
      <c r="AE24" s="9"/>
      <c r="AH24" s="82"/>
      <c r="AI24" s="82"/>
      <c r="AJ24" s="82"/>
    </row>
    <row r="25" spans="1:37" ht="44">
      <c r="B25" s="8"/>
      <c r="C25" s="8"/>
      <c r="AE25" s="9"/>
      <c r="AG25" s="44" t="s">
        <v>76</v>
      </c>
      <c r="AH25" s="83">
        <f>AVERAGE(AH8:AH18)</f>
        <v>3.0749663522790587</v>
      </c>
      <c r="AI25" s="83">
        <f>AVERAGE(AI8:AI18)</f>
        <v>2.4064165941006483</v>
      </c>
      <c r="AJ25" s="73">
        <f>AVERAGE(AJ8:AJ18)</f>
        <v>0.24842969710254897</v>
      </c>
    </row>
    <row r="26" spans="1:37" ht="21">
      <c r="B26" s="8"/>
      <c r="C26" s="8"/>
      <c r="AE26" s="9"/>
      <c r="AG26" s="60" t="s">
        <v>75</v>
      </c>
      <c r="AH26" s="86">
        <f>STDEV(AH8:AH18)</f>
        <v>2.3122170364782888</v>
      </c>
      <c r="AI26" s="86">
        <f>STDEV(AI8:AI18)</f>
        <v>3.126358630857534</v>
      </c>
      <c r="AJ26" s="74">
        <f>STDEV(AJ8:AJ18)</f>
        <v>0.308458408866567</v>
      </c>
    </row>
    <row r="27" spans="1:37" ht="21">
      <c r="A27" s="2"/>
      <c r="B27" s="8"/>
      <c r="C27" s="8"/>
      <c r="AE27" s="9"/>
    </row>
    <row r="28" spans="1:37" ht="2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37" ht="2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6"/>
      <c r="X29" s="6"/>
      <c r="Y29" s="6"/>
    </row>
    <row r="30" spans="1:37" ht="2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6"/>
      <c r="X30" s="6"/>
      <c r="Y30" s="6"/>
    </row>
    <row r="31" spans="1:37" ht="2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6"/>
      <c r="X31" s="6"/>
      <c r="Y31" s="6"/>
    </row>
    <row r="32" spans="1:37" ht="2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6"/>
      <c r="X32" s="6"/>
      <c r="Y32" s="6"/>
    </row>
    <row r="33" spans="1:36" ht="2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6"/>
      <c r="X33" s="6"/>
      <c r="Y33" s="6"/>
    </row>
    <row r="34" spans="1:36" ht="2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6"/>
      <c r="X34" s="6"/>
      <c r="Y34" s="6"/>
    </row>
    <row r="35" spans="1:36" ht="2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6"/>
      <c r="X35" s="6"/>
      <c r="Y35" s="6"/>
    </row>
    <row r="36" spans="1:36" ht="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6"/>
      <c r="X36" s="6"/>
      <c r="Y36" s="6"/>
    </row>
    <row r="37" spans="1:36" ht="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6"/>
      <c r="X37" s="6"/>
      <c r="Y37" s="6"/>
    </row>
    <row r="38" spans="1:36" ht="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6"/>
      <c r="X38" s="6"/>
      <c r="Y38" s="6"/>
    </row>
    <row r="39" spans="1:36" ht="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6"/>
      <c r="X39" s="6"/>
      <c r="Y39" s="6"/>
    </row>
    <row r="40" spans="1:36" ht="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6"/>
      <c r="X40" s="6"/>
      <c r="Y40" s="6"/>
    </row>
    <row r="41" spans="1:36" ht="21">
      <c r="V41" s="64"/>
      <c r="W41" s="65"/>
      <c r="X41" s="65"/>
      <c r="Y41" s="65"/>
      <c r="AG41" s="16"/>
      <c r="AH41" s="16"/>
      <c r="AI41" s="16"/>
      <c r="AJ41" s="16"/>
    </row>
  </sheetData>
  <mergeCells count="3">
    <mergeCell ref="F2:G2"/>
    <mergeCell ref="O2:P2"/>
    <mergeCell ref="T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DEB3-BCF5-0444-A72D-8C358E37B3D9}">
  <dimension ref="A1:E22"/>
  <sheetViews>
    <sheetView tabSelected="1" topLeftCell="B1" zoomScale="83" workbookViewId="0">
      <selection activeCell="J30" sqref="J30"/>
    </sheetView>
  </sheetViews>
  <sheetFormatPr baseColWidth="10" defaultRowHeight="16"/>
  <cols>
    <col min="1" max="1" width="13.83203125" customWidth="1"/>
    <col min="2" max="2" width="21.5" customWidth="1"/>
    <col min="3" max="3" width="14.33203125" customWidth="1"/>
    <col min="4" max="4" width="18" customWidth="1"/>
    <col min="5" max="5" width="15.1640625" customWidth="1"/>
  </cols>
  <sheetData>
    <row r="1" spans="1:5" s="1" customFormat="1" ht="88">
      <c r="A1" s="66" t="s">
        <v>68</v>
      </c>
      <c r="B1" s="94" t="s">
        <v>21</v>
      </c>
      <c r="C1" s="94" t="s">
        <v>69</v>
      </c>
      <c r="D1" s="94" t="s">
        <v>70</v>
      </c>
      <c r="E1" s="95" t="s">
        <v>71</v>
      </c>
    </row>
    <row r="2" spans="1:5" ht="21">
      <c r="A2" s="17" t="s">
        <v>52</v>
      </c>
      <c r="B2" s="93">
        <f>Decadal!W4</f>
        <v>6.5075625470073426</v>
      </c>
      <c r="C2" s="92">
        <f>Decadal!J4</f>
        <v>17219.562326752337</v>
      </c>
      <c r="D2" s="92">
        <f>Decadal!N4</f>
        <v>20442.733614399094</v>
      </c>
      <c r="E2" s="40">
        <f>Decadal!R4</f>
        <v>5250.0456156741884</v>
      </c>
    </row>
    <row r="3" spans="1:5" ht="21">
      <c r="A3" s="17" t="s">
        <v>53</v>
      </c>
      <c r="B3" s="93">
        <f>Decadal!W5</f>
        <v>5.8636198727054323</v>
      </c>
      <c r="C3" s="92">
        <f>Decadal!J5</f>
        <v>16998.666632717392</v>
      </c>
      <c r="D3" s="92">
        <f>Decadal!N5</f>
        <v>13999.482485604394</v>
      </c>
      <c r="E3" s="40">
        <f>Decadal!R5</f>
        <v>2571.1894110318331</v>
      </c>
    </row>
    <row r="4" spans="1:5" ht="21">
      <c r="A4" s="17" t="s">
        <v>54</v>
      </c>
      <c r="B4" s="93">
        <f>Decadal!W6</f>
        <v>3.8156516591408334</v>
      </c>
      <c r="C4" s="92">
        <f>Decadal!J6</f>
        <v>17939.552573804347</v>
      </c>
      <c r="D4" s="92">
        <f>Decadal!N6</f>
        <v>16242.98865956044</v>
      </c>
      <c r="E4" s="40">
        <f>Decadal!R6</f>
        <v>4835.8500294346868</v>
      </c>
    </row>
    <row r="5" spans="1:5" ht="21">
      <c r="A5" s="17" t="s">
        <v>55</v>
      </c>
      <c r="B5" s="93">
        <f>Decadal!W7</f>
        <v>1.6397966199624512</v>
      </c>
      <c r="C5" s="92">
        <f>Decadal!J7</f>
        <v>11886.757860326086</v>
      </c>
      <c r="D5" s="92">
        <f>Decadal!N7</f>
        <v>11628.996931538462</v>
      </c>
      <c r="E5" s="40">
        <f>Decadal!R7</f>
        <v>4712.7479457323088</v>
      </c>
    </row>
    <row r="6" spans="1:5" ht="21">
      <c r="A6" s="17" t="s">
        <v>56</v>
      </c>
      <c r="B6" s="93">
        <f>Decadal!W8</f>
        <v>3.1426700123415734</v>
      </c>
      <c r="C6" s="92">
        <f>Decadal!J8</f>
        <v>14147.150652826087</v>
      </c>
      <c r="D6" s="92">
        <f>Decadal!N8</f>
        <v>7543.4861191318678</v>
      </c>
      <c r="E6" s="40">
        <f>Decadal!R8</f>
        <v>5309.9252257793642</v>
      </c>
    </row>
    <row r="7" spans="1:5" ht="21">
      <c r="A7" s="39" t="s">
        <v>57</v>
      </c>
      <c r="B7" s="96">
        <f>Decadal!W9</f>
        <v>3.0535096963836428</v>
      </c>
      <c r="C7" s="18">
        <f>Decadal!J9</f>
        <v>9380.6352085760864</v>
      </c>
      <c r="D7" s="18">
        <f>Decadal!N9</f>
        <v>3601.5988942747254</v>
      </c>
      <c r="E7" s="41">
        <f>Decadal!R9</f>
        <v>3009.5720178649835</v>
      </c>
    </row>
    <row r="8" spans="1:5" ht="21">
      <c r="A8" s="17">
        <v>2007</v>
      </c>
      <c r="B8" s="93">
        <f>Annual!AH4</f>
        <v>2.4823313234452948</v>
      </c>
      <c r="C8" s="92">
        <f>Annual!K4</f>
        <v>4946.6160716086961</v>
      </c>
      <c r="D8" s="92">
        <f>Annual!Y4</f>
        <v>7097.5583832527482</v>
      </c>
      <c r="E8" s="40">
        <f>Annual!S4</f>
        <v>3493.6265987142856</v>
      </c>
    </row>
    <row r="9" spans="1:5" ht="21">
      <c r="A9" s="17">
        <v>2008</v>
      </c>
      <c r="B9" s="93">
        <f>Annual!AH5</f>
        <v>2.0655421607923632</v>
      </c>
      <c r="C9" s="92">
        <f>Annual!K5</f>
        <v>3637.9910978695652</v>
      </c>
      <c r="D9" s="92">
        <f>Annual!Y5</f>
        <v>7097.5738352967037</v>
      </c>
      <c r="E9" s="40">
        <f>Annual!S5</f>
        <v>3311.5086540710386</v>
      </c>
    </row>
    <row r="10" spans="1:5" ht="21">
      <c r="A10" s="17">
        <v>2009</v>
      </c>
      <c r="B10" s="93">
        <f>Annual!AH6</f>
        <v>1.9029871803148648</v>
      </c>
      <c r="C10" s="92">
        <f>Annual!K6</f>
        <v>7154.3165001956522</v>
      </c>
      <c r="D10" s="92">
        <f>Annual!Y6</f>
        <v>5649.358136901099</v>
      </c>
      <c r="E10" s="40">
        <f>Annual!S6</f>
        <v>1759.2898304780222</v>
      </c>
    </row>
    <row r="11" spans="1:5" ht="21">
      <c r="A11" s="17">
        <v>2010</v>
      </c>
      <c r="B11" s="93">
        <f>Annual!AH7</f>
        <v>1.8663972931658241</v>
      </c>
      <c r="C11" s="92">
        <f>Annual!K7</f>
        <v>3402.0771249891309</v>
      </c>
      <c r="D11" s="92">
        <f>Annual!Y7</f>
        <v>7491.2407541098892</v>
      </c>
      <c r="E11" s="40">
        <f>Annual!S7</f>
        <v>1802.8778122692308</v>
      </c>
    </row>
    <row r="12" spans="1:5" ht="21">
      <c r="A12" s="17">
        <v>2011</v>
      </c>
      <c r="B12" s="93">
        <f>Annual!AH8</f>
        <v>1.7456723880280018</v>
      </c>
      <c r="C12" s="92">
        <f>Annual!K8</f>
        <v>5312.2974910434787</v>
      </c>
      <c r="D12" s="92">
        <f>Annual!Y8</f>
        <v>148.02662347692311</v>
      </c>
      <c r="E12" s="40">
        <f>Annual!S8</f>
        <v>2386.9888687197799</v>
      </c>
    </row>
    <row r="13" spans="1:5" ht="21">
      <c r="A13" s="17">
        <v>2012</v>
      </c>
      <c r="B13" s="93">
        <f>Annual!AH9</f>
        <v>1.6940031341665953</v>
      </c>
      <c r="C13" s="92">
        <f>Annual!K9</f>
        <v>2361.0191788152174</v>
      </c>
      <c r="D13" s="92">
        <f>Annual!Y9</f>
        <v>1590.8828541098903</v>
      </c>
      <c r="E13" s="40">
        <f>Annual!S9</f>
        <v>2100.1646046174865</v>
      </c>
    </row>
    <row r="14" spans="1:5" ht="21">
      <c r="A14" s="17">
        <v>2013</v>
      </c>
      <c r="B14" s="93">
        <f>Annual!AH10</f>
        <v>7.8723548962955068</v>
      </c>
      <c r="C14" s="92">
        <f>Annual!K10</f>
        <v>27494.075298913045</v>
      </c>
      <c r="D14" s="92">
        <f>Annual!Y10</f>
        <v>19.88469109901099</v>
      </c>
      <c r="E14" s="40">
        <f>Annual!S10</f>
        <v>1690.402610747253</v>
      </c>
    </row>
    <row r="15" spans="1:5" ht="21">
      <c r="A15" s="17">
        <v>2014</v>
      </c>
      <c r="B15" s="93">
        <f>Annual!AH11</f>
        <v>5.5102445874641095</v>
      </c>
      <c r="C15" s="92">
        <f>Annual!K11</f>
        <v>19879.600699456521</v>
      </c>
      <c r="D15" s="92">
        <f>Annual!Y11</f>
        <v>523.93036741648348</v>
      </c>
      <c r="E15" s="40">
        <f>Annual!S11</f>
        <v>3779.6664207032964</v>
      </c>
    </row>
    <row r="16" spans="1:5" ht="21">
      <c r="A16" s="17">
        <v>2015</v>
      </c>
      <c r="B16" s="93">
        <f>Annual!AH12</f>
        <v>4.8804579971717823</v>
      </c>
      <c r="C16" s="92">
        <f>Annual!K12</f>
        <v>11997.519038043478</v>
      </c>
      <c r="D16" s="92">
        <f>Annual!Y12</f>
        <v>5275.2760397802203</v>
      </c>
      <c r="E16" s="40">
        <f>Annual!S12</f>
        <v>4803.4682185329675</v>
      </c>
    </row>
    <row r="17" spans="1:5" ht="21">
      <c r="A17" s="17">
        <v>2016</v>
      </c>
      <c r="B17" s="93">
        <f>Annual!AH13</f>
        <v>3.8134235575979885</v>
      </c>
      <c r="C17" s="92">
        <f>Annual!K13</f>
        <v>7620.8395848152168</v>
      </c>
      <c r="D17" s="92">
        <f>Annual!Y13</f>
        <v>1122.2572573406594</v>
      </c>
      <c r="E17" s="40">
        <f>Annual!S13</f>
        <v>4971.0643113461538</v>
      </c>
    </row>
    <row r="18" spans="1:5" ht="21">
      <c r="A18" s="17">
        <v>2017</v>
      </c>
      <c r="B18" s="93">
        <f>Annual!AH14</f>
        <v>3.8888695508158122</v>
      </c>
      <c r="C18" s="92">
        <f>Annual!K14</f>
        <v>2187.9714293260868</v>
      </c>
      <c r="D18" s="92">
        <f>Annual!Y14</f>
        <v>6328.3509931318686</v>
      </c>
      <c r="E18" s="40">
        <f>Annual!S14</f>
        <v>7724.498277362638</v>
      </c>
    </row>
    <row r="19" spans="1:5" ht="21">
      <c r="A19" s="17">
        <v>2018</v>
      </c>
      <c r="B19" s="93">
        <f>Annual!AH15</f>
        <v>1.036853965730504</v>
      </c>
      <c r="C19" s="92">
        <f>Annual!K15</f>
        <v>3885.7438310869561</v>
      </c>
      <c r="D19" s="92">
        <f>Annual!Y15</f>
        <v>12.99188181021978</v>
      </c>
      <c r="E19" s="40">
        <f>Annual!S15</f>
        <v>447.77829297912086</v>
      </c>
    </row>
    <row r="20" spans="1:5" ht="21">
      <c r="A20" s="17">
        <v>2019</v>
      </c>
      <c r="B20" s="93">
        <f>Annual!AH16</f>
        <v>0.78811277576611305</v>
      </c>
      <c r="C20" s="92">
        <f>Annual!K16</f>
        <v>856.35198583369572</v>
      </c>
      <c r="D20" s="92">
        <f>Annual!Y16</f>
        <v>2349.1697342417583</v>
      </c>
      <c r="E20" s="40">
        <f>Annual!S16</f>
        <v>958.75550839560447</v>
      </c>
    </row>
    <row r="21" spans="1:5" ht="21">
      <c r="A21" s="17">
        <v>2020</v>
      </c>
      <c r="B21" s="93">
        <f>Annual!AH17</f>
        <v>0.71738108187086636</v>
      </c>
      <c r="C21" s="92">
        <f>Annual!K17</f>
        <v>3132.5296737934782</v>
      </c>
      <c r="D21" s="92">
        <f>Annual!Y17</f>
        <v>28.219126535714288</v>
      </c>
      <c r="E21" s="40">
        <f>Annual!S17</f>
        <v>400.3530013437159</v>
      </c>
    </row>
    <row r="22" spans="1:5" ht="21">
      <c r="A22" s="39">
        <v>2021</v>
      </c>
      <c r="B22" s="96">
        <f>Annual!AH18</f>
        <v>1.8772559401623696</v>
      </c>
      <c r="C22" s="18">
        <f>Annual!K18</f>
        <v>5344.0097099456525</v>
      </c>
      <c r="D22" s="18">
        <f>Annual!Y18</f>
        <v>873.85034773406596</v>
      </c>
      <c r="E22" s="41">
        <f>Annual!S18</f>
        <v>1169.8247504777778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Decadal</vt:lpstr>
      <vt:lpstr>Annual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2023-03-09T16:22:28Z</dcterms:created>
  <dcterms:modified xsi:type="dcterms:W3CDTF">2023-04-24T15:02:36Z</dcterms:modified>
</cp:coreProperties>
</file>