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lewis/Desktop/FeDOC/data/raw_data/"/>
    </mc:Choice>
  </mc:AlternateContent>
  <xr:revisionPtr revIDLastSave="0" documentId="13_ncr:1_{56D44BEB-D5F0-DD4B-AC8E-7BED685F856D}" xr6:coauthVersionLast="47" xr6:coauthVersionMax="47" xr10:uidLastSave="{00000000-0000-0000-0000-000000000000}"/>
  <bookViews>
    <workbookView xWindow="18420" yWindow="500" windowWidth="10000" windowHeight="16340" activeTab="2" xr2:uid="{5FAF5F8D-BA8F-F742-B1F5-9193F0A813DE}"/>
  </bookViews>
  <sheets>
    <sheet name="Extractions" sheetId="1" r:id="rId1"/>
    <sheet name="Ferrozine" sheetId="2" r:id="rId2"/>
    <sheet name="Percent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2" i="3"/>
  <c r="E16" i="3"/>
  <c r="E13" i="3"/>
  <c r="D13" i="3"/>
  <c r="E12" i="3"/>
  <c r="D12" i="3"/>
  <c r="E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2" i="3"/>
  <c r="E3" i="3"/>
  <c r="D3" i="3"/>
  <c r="D2" i="3"/>
  <c r="L13" i="2"/>
  <c r="L14" i="2"/>
  <c r="L12" i="2"/>
  <c r="J16" i="2"/>
  <c r="J13" i="2"/>
  <c r="J14" i="2"/>
  <c r="J12" i="2"/>
  <c r="I13" i="2"/>
  <c r="I14" i="2"/>
  <c r="I12" i="2"/>
  <c r="I16" i="2"/>
  <c r="F20" i="2" a="1"/>
  <c r="F20" i="2" s="1"/>
  <c r="E20" i="2" a="1"/>
  <c r="E20" i="2" s="1"/>
  <c r="D3" i="2"/>
  <c r="D4" i="2"/>
  <c r="D5" i="2"/>
  <c r="D6" i="2"/>
  <c r="D7" i="2"/>
  <c r="D2" i="2"/>
  <c r="G14" i="2"/>
  <c r="G3" i="2"/>
  <c r="G4" i="2"/>
  <c r="G5" i="2"/>
  <c r="G6" i="2"/>
  <c r="G7" i="2"/>
  <c r="G8" i="2"/>
  <c r="G9" i="2"/>
  <c r="G10" i="2"/>
  <c r="G11" i="2"/>
  <c r="G12" i="2"/>
  <c r="G13" i="2"/>
  <c r="G2" i="2"/>
  <c r="H3" i="2"/>
  <c r="H4" i="2"/>
  <c r="H5" i="2"/>
  <c r="H6" i="2"/>
  <c r="H7" i="2"/>
  <c r="H8" i="2"/>
  <c r="H9" i="2"/>
  <c r="H10" i="2"/>
  <c r="H11" i="2"/>
  <c r="H12" i="2"/>
  <c r="H13" i="2"/>
  <c r="H14" i="2"/>
  <c r="H2" i="2"/>
  <c r="N15" i="1"/>
  <c r="E7" i="1"/>
  <c r="L7" i="1"/>
  <c r="M7" i="1" s="1"/>
  <c r="L8" i="1"/>
  <c r="L10" i="1"/>
  <c r="M10" i="1" s="1"/>
  <c r="L11" i="1"/>
  <c r="M11" i="1" s="1"/>
  <c r="L12" i="1"/>
  <c r="K10" i="1"/>
  <c r="J7" i="1"/>
  <c r="K7" i="1" s="1"/>
  <c r="J5" i="1"/>
  <c r="J6" i="1"/>
  <c r="J10" i="1"/>
  <c r="J11" i="1"/>
  <c r="K11" i="1" s="1"/>
  <c r="H10" i="1"/>
  <c r="G3" i="1"/>
  <c r="H3" i="1" s="1"/>
  <c r="G7" i="1"/>
  <c r="H7" i="1" s="1"/>
  <c r="G10" i="1"/>
  <c r="I10" i="1" s="1"/>
  <c r="G11" i="1"/>
  <c r="H11" i="1" s="1"/>
  <c r="E12" i="1"/>
  <c r="J12" i="1" s="1"/>
  <c r="E3" i="1"/>
  <c r="J3" i="1" s="1"/>
  <c r="K3" i="1" s="1"/>
  <c r="E4" i="1"/>
  <c r="G4" i="1" s="1"/>
  <c r="E5" i="1"/>
  <c r="L5" i="1" s="1"/>
  <c r="E6" i="1"/>
  <c r="L6" i="1" s="1"/>
  <c r="E8" i="1"/>
  <c r="J8" i="1" s="1"/>
  <c r="E9" i="1"/>
  <c r="J9" i="1" s="1"/>
  <c r="E10" i="1"/>
  <c r="E11" i="1"/>
  <c r="E2" i="1"/>
  <c r="L2" i="1" s="1"/>
  <c r="B3" i="1"/>
  <c r="H16" i="2" l="1"/>
  <c r="G16" i="2"/>
  <c r="K8" i="1"/>
  <c r="H4" i="1"/>
  <c r="I4" i="1"/>
  <c r="M2" i="1"/>
  <c r="K16" i="2"/>
  <c r="L4" i="1"/>
  <c r="M4" i="1" s="1"/>
  <c r="G6" i="1"/>
  <c r="I11" i="1"/>
  <c r="I3" i="1"/>
  <c r="L3" i="1"/>
  <c r="M3" i="1" s="1"/>
  <c r="G5" i="1"/>
  <c r="J2" i="1"/>
  <c r="K2" i="1" s="1"/>
  <c r="J4" i="1"/>
  <c r="K4" i="1" s="1"/>
  <c r="G12" i="1"/>
  <c r="M12" i="1" s="1"/>
  <c r="L9" i="1"/>
  <c r="I7" i="1"/>
  <c r="G9" i="1"/>
  <c r="G2" i="1"/>
  <c r="G8" i="1"/>
  <c r="I6" i="1" l="1"/>
  <c r="H6" i="1"/>
  <c r="H12" i="1"/>
  <c r="I12" i="1"/>
  <c r="K12" i="1"/>
  <c r="H9" i="1"/>
  <c r="I9" i="1"/>
  <c r="M9" i="1"/>
  <c r="M6" i="1"/>
  <c r="K9" i="1"/>
  <c r="I8" i="1"/>
  <c r="H8" i="1"/>
  <c r="I5" i="1"/>
  <c r="K5" i="1"/>
  <c r="K15" i="1" s="1"/>
  <c r="H5" i="1"/>
  <c r="M8" i="1"/>
  <c r="I2" i="1"/>
  <c r="H2" i="1"/>
  <c r="K6" i="1"/>
  <c r="M5" i="1"/>
  <c r="M15" i="1" s="1"/>
  <c r="H14" i="1" l="1"/>
  <c r="H15" i="1" s="1"/>
  <c r="I14" i="1"/>
  <c r="I15" i="1" s="1"/>
  <c r="P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<sst xmlns="http://schemas.openxmlformats.org/spreadsheetml/2006/main" count="76" uniqueCount="50">
  <si>
    <t>Dithionite</t>
  </si>
  <si>
    <t>NaCl</t>
  </si>
  <si>
    <t>n</t>
  </si>
  <si>
    <t>Total volume</t>
  </si>
  <si>
    <t>Volume per tube</t>
  </si>
  <si>
    <t>Fraction discarded</t>
  </si>
  <si>
    <t>October</t>
  </si>
  <si>
    <t>Volume discarded per tube</t>
  </si>
  <si>
    <t>Buffer fraction</t>
  </si>
  <si>
    <t>Buffer volume discarded</t>
  </si>
  <si>
    <t>Artificial water volume</t>
  </si>
  <si>
    <t>Artificial water fraction</t>
  </si>
  <si>
    <t>dithi discarded (g)</t>
  </si>
  <si>
    <t>nacl discarded (g)</t>
  </si>
  <si>
    <t>Total (g)</t>
  </si>
  <si>
    <t>Volume (mL)</t>
  </si>
  <si>
    <t>Rinse water</t>
  </si>
  <si>
    <t>Date</t>
  </si>
  <si>
    <t>Type</t>
  </si>
  <si>
    <t>unpres</t>
  </si>
  <si>
    <t>Hydroxylamine</t>
  </si>
  <si>
    <t>Ferrozine</t>
  </si>
  <si>
    <t>pres</t>
  </si>
  <si>
    <t>half</t>
  </si>
  <si>
    <t>all</t>
  </si>
  <si>
    <t>exp</t>
  </si>
  <si>
    <t>Aritificial water fraction</t>
  </si>
  <si>
    <t>Buffer fraction (only for control!)</t>
  </si>
  <si>
    <t>Acetate buffer</t>
  </si>
  <si>
    <t>Chemical</t>
  </si>
  <si>
    <t>Amount</t>
  </si>
  <si>
    <t>Percentage</t>
  </si>
  <si>
    <t>Citrate/bicarbonate buffer</t>
  </si>
  <si>
    <t>Chloride/bicarbonate buffer</t>
  </si>
  <si>
    <t>Hydrosulfite 18.2%</t>
  </si>
  <si>
    <t>Sodium chloride 16%</t>
  </si>
  <si>
    <t>Ammonium acetate 33%</t>
  </si>
  <si>
    <t>Ammonium hydroxide 47%</t>
  </si>
  <si>
    <t>Acetic acid 23%</t>
  </si>
  <si>
    <t>Hydroxylamine hydrochloride 10%</t>
  </si>
  <si>
    <t>Ferrozine 0.06%</t>
  </si>
  <si>
    <t>Water samples</t>
  </si>
  <si>
    <t>Acetate buffer (5.5M)</t>
  </si>
  <si>
    <t>Water</t>
  </si>
  <si>
    <t>Lake water</t>
  </si>
  <si>
    <t>HCl (5N)</t>
  </si>
  <si>
    <t>Lake water + DI water</t>
  </si>
  <si>
    <t>Sodium citrate/sodium bicarbonate buffer</t>
  </si>
  <si>
    <t>Sodium chloride/sodium bicarbonate buffer</t>
  </si>
  <si>
    <t>Total amount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</si>
</sst>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0" fillId="0" borderId="0" xfId="0" applyNumberFormat="1"/>
    <xf numFmtId="15" fontId="1" fillId="0" borderId="0" xfId="0" applyNumberFormat="1" applyFont="1"/>
    <xf numFmtId="16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/>
    <xf numFmtId="164" fontId="3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3EAE-5378-6E49-9FE4-C2AAE118274F}">
  <dimension ref="A1:P15"/>
  <sheetViews>
    <sheetView workbookViewId="0">
      <selection activeCell="N15" sqref="N15"/>
    </sheetView>
  </sheetViews>
  <sheetFormatPr baseColWidth="10" defaultRowHeight="16" x14ac:dyDescent="0.2"/>
  <cols>
    <col min="5" max="5" width="14.5" customWidth="1"/>
    <col min="7" max="7" width="16.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4</v>
      </c>
      <c r="F1" s="1" t="s">
        <v>7</v>
      </c>
      <c r="G1" s="1" t="s">
        <v>5</v>
      </c>
      <c r="H1" s="1" t="s">
        <v>12</v>
      </c>
      <c r="I1" s="1" t="s">
        <v>13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16</v>
      </c>
    </row>
    <row r="2" spans="1:16" x14ac:dyDescent="0.2">
      <c r="A2" s="3">
        <v>43839</v>
      </c>
      <c r="B2" s="1">
        <v>4.8</v>
      </c>
      <c r="C2" s="1">
        <v>4.2249999999999996</v>
      </c>
      <c r="D2" s="1">
        <v>16</v>
      </c>
      <c r="E2">
        <f>6*3+3*3+0.55*3</f>
        <v>28.65</v>
      </c>
      <c r="F2">
        <v>5</v>
      </c>
      <c r="G2">
        <f>F2/E2</f>
        <v>0.17452006980802792</v>
      </c>
      <c r="H2">
        <f>G2*B2</f>
        <v>0.83769633507853403</v>
      </c>
      <c r="I2">
        <f>C2*G2</f>
        <v>0.73734729493891793</v>
      </c>
      <c r="J2">
        <f>18/E2</f>
        <v>0.62827225130890052</v>
      </c>
      <c r="K2">
        <f>J2*E2*G2*D2</f>
        <v>50.261780104712045</v>
      </c>
      <c r="L2">
        <f>9/E2</f>
        <v>0.31413612565445026</v>
      </c>
      <c r="M2">
        <f>L2*E2*D2*G2</f>
        <v>25.130890052356023</v>
      </c>
      <c r="N2">
        <v>200</v>
      </c>
    </row>
    <row r="3" spans="1:16" x14ac:dyDescent="0.2">
      <c r="A3" s="3">
        <v>43847</v>
      </c>
      <c r="B3" s="1">
        <f>5.4+0.3</f>
        <v>5.7</v>
      </c>
      <c r="C3" s="1">
        <v>4.7519999999999998</v>
      </c>
      <c r="D3" s="1">
        <v>18</v>
      </c>
      <c r="E3">
        <f t="shared" ref="E3:E11" si="0">6*3+3*3+0.55*3</f>
        <v>28.65</v>
      </c>
      <c r="F3">
        <v>5</v>
      </c>
      <c r="G3">
        <f t="shared" ref="G3:G12" si="1">F3/E3</f>
        <v>0.17452006980802792</v>
      </c>
      <c r="H3">
        <f t="shared" ref="H3:H12" si="2">G3*B3</f>
        <v>0.99476439790575921</v>
      </c>
      <c r="I3">
        <f t="shared" ref="I3:I12" si="3">C3*G3</f>
        <v>0.82931937172774861</v>
      </c>
      <c r="J3">
        <f t="shared" ref="J3:J12" si="4">18/E3</f>
        <v>0.62827225130890052</v>
      </c>
      <c r="K3">
        <f t="shared" ref="K3:K12" si="5">J3*E3*G3*D3</f>
        <v>56.544502617801051</v>
      </c>
      <c r="L3">
        <f t="shared" ref="L3:L12" si="6">9/E3</f>
        <v>0.31413612565445026</v>
      </c>
      <c r="M3">
        <f t="shared" ref="M3:M12" si="7">L3*E3*D3*G3</f>
        <v>28.272251308900522</v>
      </c>
      <c r="N3">
        <v>200</v>
      </c>
    </row>
    <row r="4" spans="1:16" x14ac:dyDescent="0.2">
      <c r="A4" s="3">
        <v>44481</v>
      </c>
      <c r="B4" s="1">
        <v>6</v>
      </c>
      <c r="C4" s="1">
        <v>5.28</v>
      </c>
      <c r="D4" s="1">
        <v>18</v>
      </c>
      <c r="E4">
        <f t="shared" si="0"/>
        <v>28.65</v>
      </c>
      <c r="F4">
        <v>5</v>
      </c>
      <c r="G4">
        <f t="shared" si="1"/>
        <v>0.17452006980802792</v>
      </c>
      <c r="H4">
        <f t="shared" si="2"/>
        <v>1.0471204188481675</v>
      </c>
      <c r="I4">
        <f t="shared" si="3"/>
        <v>0.92146596858638752</v>
      </c>
      <c r="J4">
        <f t="shared" si="4"/>
        <v>0.62827225130890052</v>
      </c>
      <c r="K4">
        <f t="shared" si="5"/>
        <v>56.544502617801051</v>
      </c>
      <c r="L4">
        <f t="shared" si="6"/>
        <v>0.31413612565445026</v>
      </c>
      <c r="M4">
        <f t="shared" si="7"/>
        <v>28.272251308900522</v>
      </c>
      <c r="N4">
        <v>200</v>
      </c>
    </row>
    <row r="5" spans="1:16" x14ac:dyDescent="0.2">
      <c r="A5" s="1" t="s">
        <v>6</v>
      </c>
      <c r="B5" s="1">
        <v>5.7</v>
      </c>
      <c r="C5" s="1">
        <v>5.016</v>
      </c>
      <c r="D5" s="1">
        <v>18</v>
      </c>
      <c r="E5">
        <f t="shared" si="0"/>
        <v>28.65</v>
      </c>
      <c r="F5">
        <v>5</v>
      </c>
      <c r="G5">
        <f t="shared" si="1"/>
        <v>0.17452006980802792</v>
      </c>
      <c r="H5">
        <f t="shared" si="2"/>
        <v>0.99476439790575921</v>
      </c>
      <c r="I5">
        <f t="shared" si="3"/>
        <v>0.87539267015706801</v>
      </c>
      <c r="J5">
        <f t="shared" si="4"/>
        <v>0.62827225130890052</v>
      </c>
      <c r="K5">
        <f t="shared" si="5"/>
        <v>56.544502617801051</v>
      </c>
      <c r="L5">
        <f t="shared" si="6"/>
        <v>0.31413612565445026</v>
      </c>
      <c r="M5">
        <f t="shared" si="7"/>
        <v>28.272251308900522</v>
      </c>
      <c r="N5">
        <v>200</v>
      </c>
    </row>
    <row r="6" spans="1:16" x14ac:dyDescent="0.2">
      <c r="A6" s="3">
        <v>44488</v>
      </c>
      <c r="B6" s="1">
        <v>6</v>
      </c>
      <c r="C6" s="1">
        <v>5.28</v>
      </c>
      <c r="D6" s="1">
        <v>18</v>
      </c>
      <c r="E6">
        <f t="shared" si="0"/>
        <v>28.65</v>
      </c>
      <c r="F6">
        <v>5</v>
      </c>
      <c r="G6">
        <f t="shared" si="1"/>
        <v>0.17452006980802792</v>
      </c>
      <c r="H6">
        <f t="shared" si="2"/>
        <v>1.0471204188481675</v>
      </c>
      <c r="I6">
        <f t="shared" si="3"/>
        <v>0.92146596858638752</v>
      </c>
      <c r="J6">
        <f t="shared" si="4"/>
        <v>0.62827225130890052</v>
      </c>
      <c r="K6">
        <f t="shared" si="5"/>
        <v>56.544502617801051</v>
      </c>
      <c r="L6">
        <f t="shared" si="6"/>
        <v>0.31413612565445026</v>
      </c>
      <c r="M6">
        <f t="shared" si="7"/>
        <v>28.272251308900522</v>
      </c>
      <c r="N6">
        <v>200</v>
      </c>
    </row>
    <row r="7" spans="1:16" x14ac:dyDescent="0.2">
      <c r="A7" s="3">
        <v>44498</v>
      </c>
      <c r="B7" s="1">
        <v>2</v>
      </c>
      <c r="C7" s="1">
        <v>1.76</v>
      </c>
      <c r="D7" s="1">
        <v>18</v>
      </c>
      <c r="E7">
        <f>6+3*3+0.55*3</f>
        <v>16.649999999999999</v>
      </c>
      <c r="F7">
        <v>5</v>
      </c>
      <c r="G7">
        <f t="shared" si="1"/>
        <v>0.3003003003003003</v>
      </c>
      <c r="H7">
        <f t="shared" si="2"/>
        <v>0.60060060060060061</v>
      </c>
      <c r="I7">
        <f t="shared" si="3"/>
        <v>0.5285285285285285</v>
      </c>
      <c r="J7">
        <f>6/E7</f>
        <v>0.3603603603603604</v>
      </c>
      <c r="K7">
        <f t="shared" si="5"/>
        <v>32.432432432432435</v>
      </c>
      <c r="L7">
        <f t="shared" si="6"/>
        <v>0.54054054054054057</v>
      </c>
      <c r="M7">
        <f t="shared" si="7"/>
        <v>48.648648648648653</v>
      </c>
      <c r="N7">
        <v>200</v>
      </c>
    </row>
    <row r="8" spans="1:16" x14ac:dyDescent="0.2">
      <c r="A8" s="3">
        <v>44518</v>
      </c>
      <c r="B8" s="1">
        <v>5.7</v>
      </c>
      <c r="C8" s="1">
        <v>5.016</v>
      </c>
      <c r="D8" s="1">
        <v>18</v>
      </c>
      <c r="E8">
        <f t="shared" si="0"/>
        <v>28.65</v>
      </c>
      <c r="F8">
        <v>5</v>
      </c>
      <c r="G8">
        <f t="shared" si="1"/>
        <v>0.17452006980802792</v>
      </c>
      <c r="H8">
        <f t="shared" si="2"/>
        <v>0.99476439790575921</v>
      </c>
      <c r="I8">
        <f t="shared" si="3"/>
        <v>0.87539267015706801</v>
      </c>
      <c r="J8">
        <f t="shared" si="4"/>
        <v>0.62827225130890052</v>
      </c>
      <c r="K8">
        <f t="shared" si="5"/>
        <v>56.544502617801051</v>
      </c>
      <c r="L8">
        <f t="shared" si="6"/>
        <v>0.31413612565445026</v>
      </c>
      <c r="M8">
        <f t="shared" si="7"/>
        <v>28.272251308900522</v>
      </c>
      <c r="N8">
        <v>200</v>
      </c>
    </row>
    <row r="9" spans="1:16" x14ac:dyDescent="0.2">
      <c r="A9" s="3">
        <v>44517</v>
      </c>
      <c r="B9" s="1">
        <v>5.7</v>
      </c>
      <c r="C9" s="1">
        <v>5.016</v>
      </c>
      <c r="D9" s="1">
        <v>18</v>
      </c>
      <c r="E9">
        <f t="shared" si="0"/>
        <v>28.65</v>
      </c>
      <c r="F9">
        <v>5</v>
      </c>
      <c r="G9">
        <f t="shared" si="1"/>
        <v>0.17452006980802792</v>
      </c>
      <c r="H9">
        <f t="shared" si="2"/>
        <v>0.99476439790575921</v>
      </c>
      <c r="I9">
        <f t="shared" si="3"/>
        <v>0.87539267015706801</v>
      </c>
      <c r="J9">
        <f t="shared" si="4"/>
        <v>0.62827225130890052</v>
      </c>
      <c r="K9">
        <f t="shared" si="5"/>
        <v>56.544502617801051</v>
      </c>
      <c r="L9">
        <f t="shared" si="6"/>
        <v>0.31413612565445026</v>
      </c>
      <c r="M9">
        <f t="shared" si="7"/>
        <v>28.272251308900522</v>
      </c>
      <c r="N9">
        <v>200</v>
      </c>
    </row>
    <row r="10" spans="1:16" x14ac:dyDescent="0.2">
      <c r="A10" s="3">
        <v>44540</v>
      </c>
      <c r="B10" s="1">
        <v>5.7</v>
      </c>
      <c r="C10" s="1">
        <v>5.016</v>
      </c>
      <c r="D10" s="1">
        <v>18</v>
      </c>
      <c r="E10">
        <f t="shared" si="0"/>
        <v>28.65</v>
      </c>
      <c r="F10">
        <v>5</v>
      </c>
      <c r="G10">
        <f t="shared" si="1"/>
        <v>0.17452006980802792</v>
      </c>
      <c r="H10">
        <f t="shared" si="2"/>
        <v>0.99476439790575921</v>
      </c>
      <c r="I10">
        <f t="shared" si="3"/>
        <v>0.87539267015706801</v>
      </c>
      <c r="J10">
        <f t="shared" si="4"/>
        <v>0.62827225130890052</v>
      </c>
      <c r="K10">
        <f t="shared" si="5"/>
        <v>56.544502617801051</v>
      </c>
      <c r="L10">
        <f t="shared" si="6"/>
        <v>0.31413612565445026</v>
      </c>
      <c r="M10">
        <f t="shared" si="7"/>
        <v>28.272251308900522</v>
      </c>
      <c r="N10">
        <v>200</v>
      </c>
    </row>
    <row r="11" spans="1:16" x14ac:dyDescent="0.2">
      <c r="A11" s="3">
        <v>44543</v>
      </c>
      <c r="B11" s="1">
        <v>5.7</v>
      </c>
      <c r="C11" s="1">
        <v>5.016</v>
      </c>
      <c r="D11" s="1">
        <v>18</v>
      </c>
      <c r="E11">
        <f t="shared" si="0"/>
        <v>28.65</v>
      </c>
      <c r="F11">
        <v>5</v>
      </c>
      <c r="G11">
        <f t="shared" si="1"/>
        <v>0.17452006980802792</v>
      </c>
      <c r="H11">
        <f t="shared" si="2"/>
        <v>0.99476439790575921</v>
      </c>
      <c r="I11">
        <f t="shared" si="3"/>
        <v>0.87539267015706801</v>
      </c>
      <c r="J11">
        <f t="shared" si="4"/>
        <v>0.62827225130890052</v>
      </c>
      <c r="K11">
        <f t="shared" si="5"/>
        <v>56.544502617801051</v>
      </c>
      <c r="L11">
        <f t="shared" si="6"/>
        <v>0.31413612565445026</v>
      </c>
      <c r="M11">
        <f t="shared" si="7"/>
        <v>28.272251308900522</v>
      </c>
      <c r="N11">
        <v>200</v>
      </c>
    </row>
    <row r="12" spans="1:16" x14ac:dyDescent="0.2">
      <c r="A12" s="3">
        <v>44227</v>
      </c>
      <c r="B12" s="1">
        <v>3</v>
      </c>
      <c r="C12" s="1">
        <v>2.64</v>
      </c>
      <c r="D12" s="1">
        <v>12</v>
      </c>
      <c r="E12">
        <f>6*3+3*3+0.55*3</f>
        <v>28.65</v>
      </c>
      <c r="F12">
        <v>5</v>
      </c>
      <c r="G12">
        <f t="shared" si="1"/>
        <v>0.17452006980802792</v>
      </c>
      <c r="H12">
        <f t="shared" si="2"/>
        <v>0.52356020942408377</v>
      </c>
      <c r="I12">
        <f t="shared" si="3"/>
        <v>0.46073298429319376</v>
      </c>
      <c r="J12">
        <f t="shared" si="4"/>
        <v>0.62827225130890052</v>
      </c>
      <c r="K12">
        <f t="shared" si="5"/>
        <v>37.696335078534034</v>
      </c>
      <c r="L12">
        <f t="shared" si="6"/>
        <v>0.31413612565445026</v>
      </c>
      <c r="M12">
        <f t="shared" si="7"/>
        <v>18.848167539267017</v>
      </c>
      <c r="N12">
        <v>200</v>
      </c>
    </row>
    <row r="14" spans="1:16" x14ac:dyDescent="0.2">
      <c r="A14" t="s">
        <v>14</v>
      </c>
      <c r="H14">
        <f>SUM(H2:H12)</f>
        <v>10.024684370234109</v>
      </c>
      <c r="I14">
        <f>SUM(I2:I12)</f>
        <v>8.7758234674465037</v>
      </c>
    </row>
    <row r="15" spans="1:16" x14ac:dyDescent="0.2">
      <c r="A15" t="s">
        <v>15</v>
      </c>
      <c r="H15">
        <f>H14*5.5</f>
        <v>55.135764036287597</v>
      </c>
      <c r="I15">
        <f>I14*5.5</f>
        <v>48.267029070955772</v>
      </c>
      <c r="K15">
        <f>SUM(K2:K12)</f>
        <v>572.74656855808701</v>
      </c>
      <c r="M15">
        <f>SUM(M2:M12)</f>
        <v>318.8057167114759</v>
      </c>
      <c r="N15">
        <f>SUM(N2:N12)</f>
        <v>2200</v>
      </c>
      <c r="P15">
        <f>H15+I15+2*K15+2*M15+N15</f>
        <v>4086.507363646369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D12D-8FF8-3F4A-81D1-A4D96CC7C810}">
  <dimension ref="A1:L20"/>
  <sheetViews>
    <sheetView workbookViewId="0">
      <selection activeCell="L16" sqref="L16"/>
    </sheetView>
  </sheetViews>
  <sheetFormatPr baseColWidth="10" defaultRowHeight="16" x14ac:dyDescent="0.2"/>
  <cols>
    <col min="4" max="4" width="13.1640625" bestFit="1" customWidth="1"/>
    <col min="5" max="5" width="13.1640625" customWidth="1"/>
    <col min="9" max="9" width="28.5" bestFit="1" customWidth="1"/>
  </cols>
  <sheetData>
    <row r="1" spans="1:12" x14ac:dyDescent="0.2">
      <c r="A1" t="s">
        <v>17</v>
      </c>
      <c r="B1" t="s">
        <v>2</v>
      </c>
      <c r="C1" t="s">
        <v>18</v>
      </c>
      <c r="D1" t="s">
        <v>20</v>
      </c>
      <c r="E1" t="s">
        <v>21</v>
      </c>
      <c r="F1" t="s">
        <v>28</v>
      </c>
      <c r="G1" t="s">
        <v>3</v>
      </c>
      <c r="H1" t="s">
        <v>16</v>
      </c>
      <c r="I1" t="s">
        <v>27</v>
      </c>
      <c r="J1" t="s">
        <v>26</v>
      </c>
    </row>
    <row r="2" spans="1:12" x14ac:dyDescent="0.2">
      <c r="A2">
        <v>14</v>
      </c>
      <c r="B2">
        <v>49</v>
      </c>
      <c r="C2" t="s">
        <v>19</v>
      </c>
      <c r="D2">
        <f>0.25/2</f>
        <v>0.125</v>
      </c>
      <c r="E2">
        <v>0.25</v>
      </c>
      <c r="F2">
        <v>0.625</v>
      </c>
      <c r="G2">
        <f>B2*5</f>
        <v>245</v>
      </c>
      <c r="H2">
        <f>3*B2</f>
        <v>147</v>
      </c>
    </row>
    <row r="3" spans="1:12" x14ac:dyDescent="0.2">
      <c r="A3">
        <v>15</v>
      </c>
      <c r="B3">
        <v>63</v>
      </c>
      <c r="C3" t="s">
        <v>19</v>
      </c>
      <c r="D3">
        <f t="shared" ref="D3:D7" si="0">0.25/2</f>
        <v>0.125</v>
      </c>
      <c r="E3">
        <v>0.25</v>
      </c>
      <c r="F3">
        <v>0.625</v>
      </c>
      <c r="G3">
        <f t="shared" ref="G3:G13" si="1">B3*5</f>
        <v>315</v>
      </c>
      <c r="H3">
        <f t="shared" ref="H3:H14" si="2">3*B3</f>
        <v>189</v>
      </c>
    </row>
    <row r="4" spans="1:12" x14ac:dyDescent="0.2">
      <c r="A4">
        <v>16</v>
      </c>
      <c r="B4">
        <v>94</v>
      </c>
      <c r="C4" t="s">
        <v>19</v>
      </c>
      <c r="D4">
        <f t="shared" si="0"/>
        <v>0.125</v>
      </c>
      <c r="E4">
        <v>0.25</v>
      </c>
      <c r="F4">
        <v>0.625</v>
      </c>
      <c r="G4">
        <f t="shared" si="1"/>
        <v>470</v>
      </c>
      <c r="H4">
        <f t="shared" si="2"/>
        <v>282</v>
      </c>
    </row>
    <row r="5" spans="1:12" x14ac:dyDescent="0.2">
      <c r="A5">
        <v>20</v>
      </c>
      <c r="B5">
        <v>94</v>
      </c>
      <c r="C5" t="s">
        <v>19</v>
      </c>
      <c r="D5">
        <f t="shared" si="0"/>
        <v>0.125</v>
      </c>
      <c r="E5">
        <v>0.25</v>
      </c>
      <c r="F5">
        <v>0.625</v>
      </c>
      <c r="G5">
        <f t="shared" si="1"/>
        <v>470</v>
      </c>
      <c r="H5">
        <f t="shared" si="2"/>
        <v>282</v>
      </c>
    </row>
    <row r="6" spans="1:12" x14ac:dyDescent="0.2">
      <c r="A6">
        <v>23</v>
      </c>
      <c r="B6">
        <v>93</v>
      </c>
      <c r="C6" t="s">
        <v>19</v>
      </c>
      <c r="D6">
        <f t="shared" si="0"/>
        <v>0.125</v>
      </c>
      <c r="E6">
        <v>0.25</v>
      </c>
      <c r="F6">
        <v>0.625</v>
      </c>
      <c r="G6">
        <f t="shared" si="1"/>
        <v>465</v>
      </c>
      <c r="H6">
        <f t="shared" si="2"/>
        <v>279</v>
      </c>
    </row>
    <row r="7" spans="1:12" x14ac:dyDescent="0.2">
      <c r="A7">
        <v>3</v>
      </c>
      <c r="B7">
        <v>64</v>
      </c>
      <c r="C7" t="s">
        <v>19</v>
      </c>
      <c r="D7">
        <f t="shared" si="0"/>
        <v>0.125</v>
      </c>
      <c r="E7">
        <v>0.25</v>
      </c>
      <c r="F7">
        <v>0.625</v>
      </c>
      <c r="G7">
        <f t="shared" si="1"/>
        <v>320</v>
      </c>
      <c r="H7">
        <f t="shared" si="2"/>
        <v>192</v>
      </c>
    </row>
    <row r="8" spans="1:12" x14ac:dyDescent="0.2">
      <c r="A8" s="4">
        <v>44806</v>
      </c>
      <c r="B8">
        <v>54</v>
      </c>
      <c r="C8" t="s">
        <v>22</v>
      </c>
      <c r="D8">
        <v>0.25</v>
      </c>
      <c r="E8">
        <v>0.25</v>
      </c>
      <c r="F8">
        <v>0.625</v>
      </c>
      <c r="G8">
        <f t="shared" si="1"/>
        <v>270</v>
      </c>
      <c r="H8">
        <f t="shared" si="2"/>
        <v>162</v>
      </c>
    </row>
    <row r="9" spans="1:12" x14ac:dyDescent="0.2">
      <c r="A9" s="4">
        <v>44811</v>
      </c>
      <c r="B9">
        <v>65</v>
      </c>
      <c r="C9" t="s">
        <v>22</v>
      </c>
      <c r="D9">
        <v>0.25</v>
      </c>
      <c r="E9">
        <v>0.25</v>
      </c>
      <c r="F9">
        <v>0.625</v>
      </c>
      <c r="G9">
        <f t="shared" si="1"/>
        <v>325</v>
      </c>
      <c r="H9">
        <f t="shared" si="2"/>
        <v>195</v>
      </c>
    </row>
    <row r="10" spans="1:12" x14ac:dyDescent="0.2">
      <c r="A10" s="4">
        <v>44813</v>
      </c>
      <c r="B10">
        <v>94</v>
      </c>
      <c r="C10" t="s">
        <v>22</v>
      </c>
      <c r="D10">
        <v>0.25</v>
      </c>
      <c r="E10">
        <v>0.25</v>
      </c>
      <c r="F10">
        <v>0.625</v>
      </c>
      <c r="G10">
        <f t="shared" si="1"/>
        <v>470</v>
      </c>
      <c r="H10">
        <f t="shared" si="2"/>
        <v>282</v>
      </c>
    </row>
    <row r="11" spans="1:12" x14ac:dyDescent="0.2">
      <c r="A11" s="4">
        <v>44804</v>
      </c>
      <c r="B11">
        <v>53</v>
      </c>
      <c r="C11" t="s">
        <v>22</v>
      </c>
      <c r="D11">
        <v>0.25</v>
      </c>
      <c r="E11">
        <v>0.25</v>
      </c>
      <c r="F11">
        <v>0.625</v>
      </c>
      <c r="G11">
        <f t="shared" si="1"/>
        <v>265</v>
      </c>
      <c r="H11">
        <f t="shared" si="2"/>
        <v>159</v>
      </c>
    </row>
    <row r="12" spans="1:12" x14ac:dyDescent="0.2">
      <c r="A12" s="4">
        <v>43789</v>
      </c>
      <c r="B12">
        <v>53</v>
      </c>
      <c r="C12" t="s">
        <v>25</v>
      </c>
      <c r="D12">
        <v>0.25</v>
      </c>
      <c r="E12">
        <v>0.25</v>
      </c>
      <c r="F12">
        <v>0.625</v>
      </c>
      <c r="G12">
        <f t="shared" si="1"/>
        <v>265</v>
      </c>
      <c r="H12">
        <f t="shared" si="2"/>
        <v>159</v>
      </c>
      <c r="I12" s="5">
        <f>0.0062827225*G12</f>
        <v>1.6649214624999999</v>
      </c>
      <c r="J12" s="5">
        <f>0.31413613*G12</f>
        <v>83.246074450000009</v>
      </c>
      <c r="L12">
        <f>0.008*G12</f>
        <v>2.12</v>
      </c>
    </row>
    <row r="13" spans="1:12" x14ac:dyDescent="0.2">
      <c r="A13" s="2">
        <v>43866</v>
      </c>
      <c r="B13">
        <v>51</v>
      </c>
      <c r="C13" t="s">
        <v>25</v>
      </c>
      <c r="D13">
        <v>0.25</v>
      </c>
      <c r="E13">
        <v>0.25</v>
      </c>
      <c r="F13">
        <v>0.625</v>
      </c>
      <c r="G13">
        <f t="shared" si="1"/>
        <v>255</v>
      </c>
      <c r="H13">
        <f t="shared" si="2"/>
        <v>153</v>
      </c>
      <c r="I13" s="5">
        <f t="shared" ref="I13:I14" si="3">0.0062827225*G13</f>
        <v>1.6020942375</v>
      </c>
      <c r="J13" s="5">
        <f t="shared" ref="J13:J14" si="4">0.31413613*G13</f>
        <v>80.104713150000009</v>
      </c>
      <c r="L13">
        <f t="shared" ref="L13:L14" si="5">0.008*G13</f>
        <v>2.04</v>
      </c>
    </row>
    <row r="14" spans="1:12" x14ac:dyDescent="0.2">
      <c r="A14" s="2">
        <v>44233</v>
      </c>
      <c r="B14">
        <v>53</v>
      </c>
      <c r="C14" t="s">
        <v>25</v>
      </c>
      <c r="D14">
        <v>0.25</v>
      </c>
      <c r="E14">
        <v>0.25</v>
      </c>
      <c r="F14">
        <v>0.625</v>
      </c>
      <c r="G14">
        <f>B14*5</f>
        <v>265</v>
      </c>
      <c r="H14">
        <f t="shared" si="2"/>
        <v>159</v>
      </c>
      <c r="I14" s="5">
        <f t="shared" si="3"/>
        <v>1.6649214624999999</v>
      </c>
      <c r="J14" s="5">
        <f t="shared" si="4"/>
        <v>83.246074450000009</v>
      </c>
      <c r="L14">
        <f t="shared" si="5"/>
        <v>2.12</v>
      </c>
    </row>
    <row r="16" spans="1:12" x14ac:dyDescent="0.2">
      <c r="C16" t="s">
        <v>19</v>
      </c>
      <c r="D16" s="4" t="s">
        <v>23</v>
      </c>
      <c r="E16" s="4"/>
      <c r="F16" t="s">
        <v>24</v>
      </c>
      <c r="G16">
        <f>SUM(G2:G14)</f>
        <v>4400</v>
      </c>
      <c r="H16">
        <f>SUM(H2:H14)</f>
        <v>2640</v>
      </c>
      <c r="I16">
        <f>SUM(I12:I14)</f>
        <v>4.9319371624999997</v>
      </c>
      <c r="J16">
        <f>SUM(J12:J14)</f>
        <v>246.59686205000003</v>
      </c>
      <c r="K16">
        <f>SUM(G16:H16)</f>
        <v>7040</v>
      </c>
    </row>
    <row r="17" spans="3:6" x14ac:dyDescent="0.2">
      <c r="C17" t="s">
        <v>22</v>
      </c>
      <c r="D17" t="s">
        <v>24</v>
      </c>
      <c r="F17" t="s">
        <v>24</v>
      </c>
    </row>
    <row r="20" spans="3:6" x14ac:dyDescent="0.2">
      <c r="E20" cm="1">
        <f t="array" ref="E20">SUM(E2:E14*B2:B14)</f>
        <v>220</v>
      </c>
      <c r="F20" cm="1">
        <f t="array" ref="F20">SUM(F2:F14*B2:B14)</f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5D3B-1963-DE4A-9F48-8E5C52CAA991}">
  <dimension ref="A1:F26"/>
  <sheetViews>
    <sheetView tabSelected="1" topLeftCell="C1" workbookViewId="0">
      <selection activeCell="D2" sqref="D2"/>
    </sheetView>
  </sheetViews>
  <sheetFormatPr baseColWidth="10" defaultRowHeight="16" x14ac:dyDescent="0.2"/>
  <cols>
    <col min="1" max="1" width="24.1640625" bestFit="1" customWidth="1"/>
    <col min="4" max="4" width="37.6640625" bestFit="1" customWidth="1"/>
    <col min="6" max="6" width="10.33203125" bestFit="1" customWidth="1"/>
  </cols>
  <sheetData>
    <row r="1" spans="1:6" x14ac:dyDescent="0.2">
      <c r="A1" t="s">
        <v>29</v>
      </c>
      <c r="B1" t="s">
        <v>30</v>
      </c>
      <c r="D1" t="s">
        <v>29</v>
      </c>
      <c r="E1" t="s">
        <v>49</v>
      </c>
      <c r="F1" s="7" t="s">
        <v>31</v>
      </c>
    </row>
    <row r="2" spans="1:6" x14ac:dyDescent="0.2">
      <c r="A2" t="s">
        <v>47</v>
      </c>
      <c r="B2">
        <v>100</v>
      </c>
      <c r="D2" t="str">
        <f t="shared" ref="D2:D10" si="0">A2</f>
        <v>Sodium citrate/sodium bicarbonate buffer</v>
      </c>
      <c r="E2">
        <f>B2+B23+B13</f>
        <v>705</v>
      </c>
      <c r="F2" s="8">
        <f>E2/E$16*100</f>
        <v>5.7131280388978931</v>
      </c>
    </row>
    <row r="3" spans="1:6" x14ac:dyDescent="0.2">
      <c r="A3" t="s">
        <v>48</v>
      </c>
      <c r="B3">
        <v>100</v>
      </c>
      <c r="D3" t="str">
        <f t="shared" si="0"/>
        <v>Sodium chloride/sodium bicarbonate buffer</v>
      </c>
      <c r="E3">
        <f>B3+B14+B24</f>
        <v>1193</v>
      </c>
      <c r="F3" s="8">
        <f t="shared" ref="F3:F13" si="1">E3/E$16*100</f>
        <v>9.6677471636953012</v>
      </c>
    </row>
    <row r="4" spans="1:6" x14ac:dyDescent="0.2">
      <c r="A4" t="s">
        <v>34</v>
      </c>
      <c r="B4">
        <v>10</v>
      </c>
      <c r="D4" t="str">
        <f t="shared" si="0"/>
        <v>Hydrosulfite 18.2%</v>
      </c>
      <c r="E4">
        <f>B4+B15</f>
        <v>66</v>
      </c>
      <c r="F4" s="8">
        <f t="shared" si="1"/>
        <v>0.53484602917341972</v>
      </c>
    </row>
    <row r="5" spans="1:6" x14ac:dyDescent="0.2">
      <c r="A5" t="s">
        <v>35</v>
      </c>
      <c r="B5">
        <v>10</v>
      </c>
      <c r="D5" t="str">
        <f t="shared" si="0"/>
        <v>Sodium chloride 16%</v>
      </c>
      <c r="E5">
        <f>B5+B16</f>
        <v>66</v>
      </c>
      <c r="F5" s="8">
        <f t="shared" si="1"/>
        <v>0.53484602917341972</v>
      </c>
    </row>
    <row r="6" spans="1:6" x14ac:dyDescent="0.2">
      <c r="A6" t="s">
        <v>36</v>
      </c>
      <c r="B6">
        <v>20</v>
      </c>
      <c r="D6" t="str">
        <f t="shared" si="0"/>
        <v>Ammonium acetate 33%</v>
      </c>
      <c r="E6">
        <f>B6</f>
        <v>20</v>
      </c>
      <c r="F6" s="8">
        <f t="shared" si="1"/>
        <v>0.16207455429497569</v>
      </c>
    </row>
    <row r="7" spans="1:6" x14ac:dyDescent="0.2">
      <c r="A7" t="s">
        <v>37</v>
      </c>
      <c r="B7">
        <v>60</v>
      </c>
      <c r="D7" t="str">
        <f t="shared" si="0"/>
        <v>Ammonium hydroxide 47%</v>
      </c>
      <c r="E7">
        <f>B7</f>
        <v>60</v>
      </c>
      <c r="F7" s="8">
        <f t="shared" si="1"/>
        <v>0.48622366288492713</v>
      </c>
    </row>
    <row r="8" spans="1:6" x14ac:dyDescent="0.2">
      <c r="A8" t="s">
        <v>38</v>
      </c>
      <c r="B8">
        <v>60</v>
      </c>
      <c r="D8" t="str">
        <f t="shared" si="0"/>
        <v>Acetic acid 23%</v>
      </c>
      <c r="E8">
        <f>B8</f>
        <v>60</v>
      </c>
      <c r="F8" s="8">
        <f t="shared" si="1"/>
        <v>0.48622366288492713</v>
      </c>
    </row>
    <row r="9" spans="1:6" x14ac:dyDescent="0.2">
      <c r="A9" t="s">
        <v>39</v>
      </c>
      <c r="B9">
        <v>50</v>
      </c>
      <c r="D9" t="str">
        <f t="shared" si="0"/>
        <v>Hydroxylamine hydrochloride 10%</v>
      </c>
      <c r="E9">
        <f>B9+B11+B19</f>
        <v>325</v>
      </c>
      <c r="F9" s="8">
        <f t="shared" si="1"/>
        <v>2.6337115072933548</v>
      </c>
    </row>
    <row r="10" spans="1:6" x14ac:dyDescent="0.2">
      <c r="A10" t="s">
        <v>40</v>
      </c>
      <c r="B10">
        <v>10</v>
      </c>
      <c r="D10" t="str">
        <f t="shared" si="0"/>
        <v>Ferrozine 0.06%</v>
      </c>
      <c r="E10">
        <f>B10+B20</f>
        <v>260</v>
      </c>
      <c r="F10" s="8">
        <f t="shared" si="1"/>
        <v>2.1069692058346838</v>
      </c>
    </row>
    <row r="11" spans="1:6" x14ac:dyDescent="0.2">
      <c r="A11" t="s">
        <v>39</v>
      </c>
      <c r="B11">
        <v>25</v>
      </c>
      <c r="D11" t="s">
        <v>43</v>
      </c>
      <c r="E11">
        <f>B17+B22+B25+B18</f>
        <v>9025</v>
      </c>
      <c r="F11" s="8">
        <f t="shared" si="1"/>
        <v>73.136142625607775</v>
      </c>
    </row>
    <row r="12" spans="1:6" x14ac:dyDescent="0.2">
      <c r="A12" t="s">
        <v>40</v>
      </c>
      <c r="B12">
        <v>25</v>
      </c>
      <c r="D12" t="str">
        <f>A21</f>
        <v>Acetate buffer (5.5M)</v>
      </c>
      <c r="E12">
        <f>B21</f>
        <v>550</v>
      </c>
      <c r="F12" s="8">
        <f t="shared" si="1"/>
        <v>4.4570502431118308</v>
      </c>
    </row>
    <row r="13" spans="1:6" x14ac:dyDescent="0.2">
      <c r="A13" t="s">
        <v>32</v>
      </c>
      <c r="B13">
        <v>600</v>
      </c>
      <c r="D13" t="str">
        <f>A26</f>
        <v>HCl (5N)</v>
      </c>
      <c r="E13">
        <f>B26</f>
        <v>10</v>
      </c>
      <c r="F13" s="8">
        <f t="shared" si="1"/>
        <v>8.1037277147487846E-2</v>
      </c>
    </row>
    <row r="14" spans="1:6" x14ac:dyDescent="0.2">
      <c r="A14" t="s">
        <v>33</v>
      </c>
      <c r="B14">
        <v>600</v>
      </c>
    </row>
    <row r="15" spans="1:6" x14ac:dyDescent="0.2">
      <c r="A15" t="s">
        <v>34</v>
      </c>
      <c r="B15">
        <v>56</v>
      </c>
    </row>
    <row r="16" spans="1:6" x14ac:dyDescent="0.2">
      <c r="A16" t="s">
        <v>35</v>
      </c>
      <c r="B16">
        <v>56</v>
      </c>
      <c r="E16">
        <f>SUM(E2:E13)</f>
        <v>12340</v>
      </c>
    </row>
    <row r="17" spans="1:2" x14ac:dyDescent="0.2">
      <c r="A17" s="6" t="s">
        <v>46</v>
      </c>
      <c r="B17">
        <v>320</v>
      </c>
    </row>
    <row r="18" spans="1:2" x14ac:dyDescent="0.2">
      <c r="A18" t="s">
        <v>41</v>
      </c>
      <c r="B18">
        <v>3615</v>
      </c>
    </row>
    <row r="19" spans="1:2" x14ac:dyDescent="0.2">
      <c r="A19" t="s">
        <v>39</v>
      </c>
      <c r="B19">
        <v>250</v>
      </c>
    </row>
    <row r="20" spans="1:2" x14ac:dyDescent="0.2">
      <c r="A20" t="s">
        <v>40</v>
      </c>
      <c r="B20">
        <v>250</v>
      </c>
    </row>
    <row r="21" spans="1:2" x14ac:dyDescent="0.2">
      <c r="A21" t="s">
        <v>42</v>
      </c>
      <c r="B21">
        <v>550</v>
      </c>
    </row>
    <row r="22" spans="1:2" x14ac:dyDescent="0.2">
      <c r="A22" t="s">
        <v>43</v>
      </c>
      <c r="B22">
        <v>4840</v>
      </c>
    </row>
    <row r="23" spans="1:2" x14ac:dyDescent="0.2">
      <c r="A23" t="s">
        <v>32</v>
      </c>
      <c r="B23">
        <v>5</v>
      </c>
    </row>
    <row r="24" spans="1:2" x14ac:dyDescent="0.2">
      <c r="A24" t="s">
        <v>33</v>
      </c>
      <c r="B24">
        <v>493</v>
      </c>
    </row>
    <row r="25" spans="1:2" x14ac:dyDescent="0.2">
      <c r="A25" s="6" t="s">
        <v>44</v>
      </c>
      <c r="B25">
        <v>250</v>
      </c>
    </row>
    <row r="26" spans="1:2" x14ac:dyDescent="0.2">
      <c r="A26" s="6" t="s">
        <v>45</v>
      </c>
      <c r="B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Extractions</vt:lpstr>
      <vt:lpstr>Ferrozine</vt:lpstr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Lewis</dc:creator>
  <cp:lastModifiedBy>Abby Lewis</cp:lastModifiedBy>
  <dcterms:created xsi:type="dcterms:W3CDTF">2022-04-25T20:23:16Z</dcterms:created>
  <dcterms:modified xsi:type="dcterms:W3CDTF">2022-05-04T18:38:01Z</dcterms:modified>
</cp:coreProperties>
</file>